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0" yWindow="0" windowWidth="23256" windowHeight="13176" tabRatio="500"/>
  </bookViews>
  <sheets>
    <sheet name="Key" sheetId="8" r:id="rId1"/>
    <sheet name="NPRI alternative" sheetId="3" r:id="rId2"/>
    <sheet name="101-2610" sheetId="7" r:id="rId3"/>
    <sheet name="101-2699" sheetId="5" r:id="rId4"/>
    <sheet name="101-3013" sheetId="6" r:id="rId5"/>
    <sheet name="2013 vs NPRI, Gov" sheetId="13" r:id="rId6"/>
    <sheet name="NPRI vs Gov" sheetId="14" r:id="rId7"/>
    <sheet name="12-13, NPRI, Gov overview" sheetId="12" r:id="rId8"/>
    <sheet name="$ by Department" sheetId="11" r:id="rId9"/>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Q112" i="3"/>
  <c r="F45" i="14"/>
  <c r="E45"/>
  <c r="C45"/>
  <c r="B45"/>
  <c r="G51" i="13"/>
  <c r="C51"/>
  <c r="G51" i="12"/>
  <c r="F51"/>
  <c r="E51"/>
  <c r="F12" i="11"/>
  <c r="F13"/>
  <c r="F25"/>
  <c r="F27"/>
  <c r="F36"/>
  <c r="F39"/>
  <c r="F40"/>
  <c r="F43"/>
  <c r="F57"/>
  <c r="F58"/>
  <c r="F92"/>
  <c r="F93"/>
  <c r="F118"/>
  <c r="F119"/>
  <c r="F121"/>
  <c r="F150"/>
  <c r="F152"/>
  <c r="F164"/>
  <c r="F165"/>
  <c r="F168"/>
  <c r="F169"/>
  <c r="F209"/>
  <c r="F216"/>
  <c r="F229"/>
  <c r="F306"/>
  <c r="F318"/>
  <c r="F319"/>
  <c r="F347"/>
  <c r="F362"/>
  <c r="F391"/>
  <c r="F395"/>
  <c r="F396"/>
  <c r="F421"/>
  <c r="F429"/>
  <c r="F435"/>
  <c r="F436"/>
  <c r="F442"/>
  <c r="F444"/>
  <c r="F445"/>
  <c r="F431"/>
  <c r="F432"/>
  <c r="F2"/>
  <c r="E12"/>
  <c r="E13"/>
  <c r="E25"/>
  <c r="E27"/>
  <c r="E36"/>
  <c r="E39"/>
  <c r="E40"/>
  <c r="E43"/>
  <c r="E57"/>
  <c r="E58"/>
  <c r="E92"/>
  <c r="E93"/>
  <c r="E118"/>
  <c r="E119"/>
  <c r="E121"/>
  <c r="E150"/>
  <c r="E152"/>
  <c r="E164"/>
  <c r="E165"/>
  <c r="E168"/>
  <c r="E169"/>
  <c r="E209"/>
  <c r="E216"/>
  <c r="E229"/>
  <c r="E306"/>
  <c r="E318"/>
  <c r="E319"/>
  <c r="E347"/>
  <c r="E362"/>
  <c r="E391"/>
  <c r="E395"/>
  <c r="E396"/>
  <c r="E421"/>
  <c r="E429"/>
  <c r="E431"/>
  <c r="E432"/>
  <c r="E435"/>
  <c r="E436"/>
  <c r="E442"/>
  <c r="E444"/>
  <c r="E445"/>
  <c r="E2"/>
  <c r="O2" i="3"/>
  <c r="Q2"/>
  <c r="R2"/>
  <c r="S2"/>
  <c r="T2"/>
  <c r="U2"/>
  <c r="V2"/>
  <c r="W2"/>
  <c r="X2"/>
  <c r="Y2"/>
  <c r="I40"/>
  <c r="L40"/>
  <c r="P2"/>
  <c r="L2"/>
  <c r="I2"/>
  <c r="W187"/>
  <c r="Y445"/>
  <c r="W420"/>
  <c r="W419"/>
  <c r="U417"/>
  <c r="U415"/>
  <c r="U383"/>
  <c r="W377"/>
  <c r="X220"/>
  <c r="X218"/>
  <c r="S216"/>
  <c r="Y215"/>
  <c r="S214"/>
  <c r="U209"/>
  <c r="W208"/>
  <c r="U207"/>
  <c r="W206"/>
  <c r="W205"/>
  <c r="W204"/>
  <c r="X203"/>
  <c r="X190"/>
  <c r="X189"/>
  <c r="V188"/>
  <c r="X173"/>
  <c r="V90"/>
  <c r="X25"/>
  <c r="X8"/>
  <c r="W7"/>
  <c r="Y192"/>
  <c r="N2"/>
  <c r="I60"/>
  <c r="H372"/>
  <c r="T446"/>
  <c r="I279"/>
  <c r="L279"/>
  <c r="I372"/>
  <c r="K372"/>
  <c r="L372"/>
  <c r="P372"/>
  <c r="R60"/>
  <c r="J2"/>
  <c r="K2"/>
  <c r="H2"/>
  <c r="G2"/>
  <c r="L446"/>
  <c r="I446"/>
  <c r="G45" i="14"/>
  <c r="D45"/>
  <c r="G43"/>
  <c r="D43"/>
  <c r="G42"/>
  <c r="D42"/>
  <c r="G41"/>
  <c r="D41"/>
  <c r="G40"/>
  <c r="D40"/>
  <c r="G39"/>
  <c r="D39"/>
  <c r="G38"/>
  <c r="D38"/>
  <c r="G37"/>
  <c r="D37"/>
  <c r="G36"/>
  <c r="D36"/>
  <c r="G35"/>
  <c r="D35"/>
  <c r="G34"/>
  <c r="D34"/>
  <c r="G33"/>
  <c r="D33"/>
  <c r="G32"/>
  <c r="D32"/>
  <c r="G31"/>
  <c r="D31"/>
  <c r="G30"/>
  <c r="D30"/>
  <c r="G29"/>
  <c r="D29"/>
  <c r="G28"/>
  <c r="D28"/>
  <c r="G27"/>
  <c r="D27"/>
  <c r="G26"/>
  <c r="D26"/>
  <c r="G25"/>
  <c r="D25"/>
  <c r="G24"/>
  <c r="D24"/>
  <c r="G23"/>
  <c r="D23"/>
  <c r="G22"/>
  <c r="D22"/>
  <c r="G21"/>
  <c r="D21"/>
  <c r="G20"/>
  <c r="D20"/>
  <c r="G19"/>
  <c r="D19"/>
  <c r="G18"/>
  <c r="D18"/>
  <c r="G17"/>
  <c r="D17"/>
  <c r="G16"/>
  <c r="D16"/>
  <c r="G15"/>
  <c r="D15"/>
  <c r="G14"/>
  <c r="D14"/>
  <c r="G13"/>
  <c r="D13"/>
  <c r="G12"/>
  <c r="D12"/>
  <c r="G11"/>
  <c r="D11"/>
  <c r="G10"/>
  <c r="D10"/>
  <c r="G9"/>
  <c r="D9"/>
  <c r="G8"/>
  <c r="D8"/>
  <c r="G7"/>
  <c r="D7"/>
  <c r="G6"/>
  <c r="D6"/>
  <c r="G5"/>
  <c r="D5"/>
  <c r="G4"/>
  <c r="D4"/>
  <c r="G3"/>
  <c r="D3"/>
  <c r="I51" i="13"/>
  <c r="K51"/>
  <c r="B51"/>
  <c r="J51"/>
  <c r="H51"/>
  <c r="E51"/>
  <c r="F51"/>
  <c r="D51"/>
  <c r="K49"/>
  <c r="K48"/>
  <c r="J48"/>
  <c r="H48"/>
  <c r="F48"/>
  <c r="D48"/>
  <c r="K47"/>
  <c r="J47"/>
  <c r="H47"/>
  <c r="F47"/>
  <c r="D47"/>
  <c r="K45"/>
  <c r="K44"/>
  <c r="K43"/>
  <c r="J43"/>
  <c r="H43"/>
  <c r="F43"/>
  <c r="D43"/>
  <c r="K41"/>
  <c r="J41"/>
  <c r="H41"/>
  <c r="F41"/>
  <c r="D41"/>
  <c r="K40"/>
  <c r="J40"/>
  <c r="H40"/>
  <c r="F40"/>
  <c r="D40"/>
  <c r="K39"/>
  <c r="J39"/>
  <c r="H39"/>
  <c r="F39"/>
  <c r="D39"/>
  <c r="K37"/>
  <c r="J37"/>
  <c r="H37"/>
  <c r="F37"/>
  <c r="D37"/>
  <c r="K36"/>
  <c r="J36"/>
  <c r="H36"/>
  <c r="F36"/>
  <c r="D36"/>
  <c r="K35"/>
  <c r="J35"/>
  <c r="H35"/>
  <c r="F35"/>
  <c r="D35"/>
  <c r="K34"/>
  <c r="J34"/>
  <c r="H34"/>
  <c r="F34"/>
  <c r="D34"/>
  <c r="K33"/>
  <c r="K32"/>
  <c r="K31"/>
  <c r="J31"/>
  <c r="H31"/>
  <c r="F31"/>
  <c r="D31"/>
  <c r="K30"/>
  <c r="J30"/>
  <c r="H30"/>
  <c r="F30"/>
  <c r="D30"/>
  <c r="K29"/>
  <c r="J29"/>
  <c r="H29"/>
  <c r="F29"/>
  <c r="D29"/>
  <c r="K28"/>
  <c r="K27"/>
  <c r="J27"/>
  <c r="H27"/>
  <c r="F27"/>
  <c r="D27"/>
  <c r="K26"/>
  <c r="K25"/>
  <c r="J25"/>
  <c r="H25"/>
  <c r="F25"/>
  <c r="D25"/>
  <c r="K24"/>
  <c r="J24"/>
  <c r="H24"/>
  <c r="F24"/>
  <c r="D24"/>
  <c r="K23"/>
  <c r="J23"/>
  <c r="H23"/>
  <c r="F23"/>
  <c r="D23"/>
  <c r="K22"/>
  <c r="J22"/>
  <c r="H22"/>
  <c r="F22"/>
  <c r="D22"/>
  <c r="K21"/>
  <c r="J21"/>
  <c r="H21"/>
  <c r="F21"/>
  <c r="D21"/>
  <c r="K20"/>
  <c r="J20"/>
  <c r="H20"/>
  <c r="F20"/>
  <c r="D20"/>
  <c r="K18"/>
  <c r="J18"/>
  <c r="H18"/>
  <c r="F18"/>
  <c r="D18"/>
  <c r="K17"/>
  <c r="J17"/>
  <c r="H17"/>
  <c r="F17"/>
  <c r="D17"/>
  <c r="K16"/>
  <c r="J16"/>
  <c r="H16"/>
  <c r="F16"/>
  <c r="D16"/>
  <c r="K15"/>
  <c r="J15"/>
  <c r="H15"/>
  <c r="F15"/>
  <c r="D15"/>
  <c r="K14"/>
  <c r="J14"/>
  <c r="H14"/>
  <c r="F14"/>
  <c r="D14"/>
  <c r="K13"/>
  <c r="J13"/>
  <c r="H13"/>
  <c r="F13"/>
  <c r="D13"/>
  <c r="K12"/>
  <c r="J12"/>
  <c r="H12"/>
  <c r="F12"/>
  <c r="D12"/>
  <c r="K10"/>
  <c r="J10"/>
  <c r="H10"/>
  <c r="F10"/>
  <c r="D10"/>
  <c r="K9"/>
  <c r="J9"/>
  <c r="H9"/>
  <c r="F9"/>
  <c r="D9"/>
  <c r="K8"/>
  <c r="K7"/>
  <c r="J7"/>
  <c r="H7"/>
  <c r="F7"/>
  <c r="D7"/>
  <c r="K5"/>
  <c r="J5"/>
  <c r="H5"/>
  <c r="F5"/>
  <c r="D5"/>
  <c r="K4"/>
  <c r="J4"/>
  <c r="H4"/>
  <c r="F4"/>
  <c r="D4"/>
  <c r="K3"/>
  <c r="J3"/>
  <c r="H3"/>
  <c r="F3"/>
  <c r="D3"/>
  <c r="Y219" i="3"/>
  <c r="L213"/>
  <c r="I213"/>
  <c r="W199"/>
  <c r="K188"/>
  <c r="L197"/>
  <c r="U197"/>
  <c r="L188"/>
  <c r="L153"/>
  <c r="I153"/>
  <c r="M2"/>
  <c r="K431"/>
  <c r="P424"/>
  <c r="H424"/>
  <c r="W421"/>
  <c r="W414"/>
  <c r="H415"/>
  <c r="K415"/>
  <c r="L415"/>
  <c r="I415"/>
  <c r="U414"/>
  <c r="R409"/>
  <c r="W408"/>
  <c r="R407"/>
  <c r="W392"/>
  <c r="W387"/>
  <c r="K377"/>
  <c r="H377"/>
  <c r="R376"/>
  <c r="W345"/>
  <c r="R342"/>
  <c r="R339"/>
  <c r="R338"/>
  <c r="R337"/>
  <c r="R333"/>
  <c r="R329"/>
  <c r="R328"/>
  <c r="P328"/>
  <c r="R327"/>
  <c r="P327"/>
  <c r="R326"/>
  <c r="I313"/>
  <c r="K313"/>
  <c r="L313"/>
  <c r="W313"/>
  <c r="I311"/>
  <c r="K311"/>
  <c r="L311"/>
  <c r="W311"/>
  <c r="H303"/>
  <c r="K303"/>
  <c r="H302"/>
  <c r="K302"/>
  <c r="K295"/>
  <c r="I290"/>
  <c r="L290"/>
  <c r="R290"/>
  <c r="I289"/>
  <c r="L289"/>
  <c r="Y289"/>
  <c r="I286"/>
  <c r="L286"/>
  <c r="W286"/>
  <c r="K285"/>
  <c r="H285"/>
  <c r="H284"/>
  <c r="K284"/>
  <c r="I283"/>
  <c r="L283"/>
  <c r="R283"/>
  <c r="H277"/>
  <c r="I277"/>
  <c r="K277"/>
  <c r="L277"/>
  <c r="R277"/>
  <c r="I274"/>
  <c r="L274"/>
  <c r="R274"/>
  <c r="I271"/>
  <c r="L271"/>
  <c r="R271"/>
  <c r="I269"/>
  <c r="L269"/>
  <c r="R269"/>
  <c r="I266"/>
  <c r="L266"/>
  <c r="W266"/>
  <c r="H248"/>
  <c r="I246"/>
  <c r="L246"/>
  <c r="R246"/>
  <c r="H245"/>
  <c r="H247"/>
  <c r="H236"/>
  <c r="I236"/>
  <c r="K236"/>
  <c r="L236"/>
  <c r="W236"/>
  <c r="I230"/>
  <c r="L230"/>
  <c r="R230"/>
  <c r="K218"/>
  <c r="O218"/>
  <c r="H218"/>
  <c r="I223"/>
  <c r="L223"/>
  <c r="R223"/>
  <c r="I219"/>
  <c r="L219"/>
  <c r="X219"/>
  <c r="O215"/>
  <c r="K208"/>
  <c r="H208"/>
  <c r="H207"/>
  <c r="O207"/>
  <c r="O206"/>
  <c r="O205"/>
  <c r="O204"/>
  <c r="H200"/>
  <c r="K200"/>
  <c r="K199"/>
  <c r="H197"/>
  <c r="I197"/>
  <c r="I193"/>
  <c r="L193"/>
  <c r="U193"/>
  <c r="H192"/>
  <c r="I192"/>
  <c r="K192"/>
  <c r="L192"/>
  <c r="I191"/>
  <c r="K191"/>
  <c r="L191"/>
  <c r="U191"/>
  <c r="O7"/>
  <c r="H188"/>
  <c r="I182"/>
  <c r="L182"/>
  <c r="W182"/>
  <c r="L163"/>
  <c r="H146"/>
  <c r="K146"/>
  <c r="H148"/>
  <c r="H142"/>
  <c r="H141"/>
  <c r="H140"/>
  <c r="H139"/>
  <c r="H138"/>
  <c r="H136"/>
  <c r="K136"/>
  <c r="H135"/>
  <c r="H132"/>
  <c r="H133"/>
  <c r="H131"/>
  <c r="H130"/>
  <c r="H129"/>
  <c r="H128"/>
  <c r="H125"/>
  <c r="H123"/>
  <c r="I116"/>
  <c r="L116"/>
  <c r="R116"/>
  <c r="K105"/>
  <c r="W104"/>
  <c r="I104"/>
  <c r="L104"/>
  <c r="R104"/>
  <c r="H83"/>
  <c r="I83"/>
  <c r="I75"/>
  <c r="L75"/>
  <c r="W75"/>
  <c r="K70"/>
  <c r="I67"/>
  <c r="I43"/>
  <c r="L43"/>
  <c r="W43"/>
  <c r="I51"/>
  <c r="L51"/>
  <c r="R51"/>
  <c r="H50"/>
  <c r="I50"/>
  <c r="K50"/>
  <c r="L50"/>
  <c r="X50"/>
  <c r="H41"/>
  <c r="K41"/>
  <c r="I31"/>
  <c r="L31"/>
  <c r="W31"/>
  <c r="I30"/>
  <c r="L30"/>
  <c r="W30"/>
  <c r="I8"/>
  <c r="L8"/>
  <c r="I7"/>
  <c r="L7"/>
  <c r="I4"/>
  <c r="R4"/>
  <c r="H417"/>
  <c r="K417"/>
  <c r="C6" i="7"/>
  <c r="C3"/>
  <c r="B3"/>
  <c r="L65" i="3"/>
  <c r="I65"/>
  <c r="K4"/>
  <c r="L417"/>
  <c r="I417"/>
  <c r="L105"/>
  <c r="I105"/>
  <c r="U105"/>
  <c r="L171"/>
  <c r="I171"/>
  <c r="H198"/>
  <c r="I198"/>
  <c r="K198"/>
  <c r="L198"/>
  <c r="U198"/>
  <c r="I207"/>
  <c r="K207"/>
  <c r="L207"/>
  <c r="H209"/>
  <c r="I209"/>
  <c r="K209"/>
  <c r="L209"/>
  <c r="H234"/>
  <c r="I234"/>
  <c r="K234"/>
  <c r="L234"/>
  <c r="U234"/>
  <c r="H235"/>
  <c r="I235"/>
  <c r="K235"/>
  <c r="L235"/>
  <c r="U235"/>
  <c r="H298"/>
  <c r="I298"/>
  <c r="K298"/>
  <c r="L298"/>
  <c r="U298"/>
  <c r="H354"/>
  <c r="I354"/>
  <c r="K354"/>
  <c r="L354"/>
  <c r="U354"/>
  <c r="I358"/>
  <c r="L358"/>
  <c r="H360"/>
  <c r="I360"/>
  <c r="K360"/>
  <c r="L360"/>
  <c r="U360"/>
  <c r="H361"/>
  <c r="I361"/>
  <c r="K361"/>
  <c r="L361"/>
  <c r="U361"/>
  <c r="H362"/>
  <c r="I362"/>
  <c r="K362"/>
  <c r="L362"/>
  <c r="U362"/>
  <c r="H366"/>
  <c r="I366"/>
  <c r="K366"/>
  <c r="L366"/>
  <c r="R366"/>
  <c r="H386"/>
  <c r="I386"/>
  <c r="K386"/>
  <c r="L386"/>
  <c r="U386"/>
  <c r="H411"/>
  <c r="I411"/>
  <c r="K411"/>
  <c r="L411"/>
  <c r="U411"/>
  <c r="H413"/>
  <c r="I413"/>
  <c r="K413"/>
  <c r="L413"/>
  <c r="U413"/>
  <c r="H414"/>
  <c r="I414"/>
  <c r="L414"/>
  <c r="I422"/>
  <c r="L422"/>
  <c r="I423"/>
  <c r="L423"/>
  <c r="I424"/>
  <c r="K424"/>
  <c r="L424"/>
  <c r="I426"/>
  <c r="L426"/>
  <c r="I429"/>
  <c r="L429"/>
  <c r="H431"/>
  <c r="I431"/>
  <c r="L431"/>
  <c r="U431"/>
  <c r="H432"/>
  <c r="I432"/>
  <c r="K432"/>
  <c r="L432"/>
  <c r="U432"/>
  <c r="I95"/>
  <c r="L95"/>
  <c r="T95"/>
  <c r="I10"/>
  <c r="L10"/>
  <c r="Q10"/>
  <c r="I16"/>
  <c r="L16"/>
  <c r="Q16"/>
  <c r="H90"/>
  <c r="I90"/>
  <c r="K90"/>
  <c r="L90"/>
  <c r="H94"/>
  <c r="I94"/>
  <c r="K94"/>
  <c r="L94"/>
  <c r="Q94"/>
  <c r="I96"/>
  <c r="L96"/>
  <c r="Q96"/>
  <c r="I97"/>
  <c r="L97"/>
  <c r="Q97"/>
  <c r="I99"/>
  <c r="L99"/>
  <c r="Q99"/>
  <c r="I137"/>
  <c r="L137"/>
  <c r="Q137"/>
  <c r="I318"/>
  <c r="L318"/>
  <c r="R318"/>
  <c r="I215"/>
  <c r="L215"/>
  <c r="L217"/>
  <c r="I217"/>
  <c r="Q217"/>
  <c r="L229"/>
  <c r="I229"/>
  <c r="S229"/>
  <c r="I9"/>
  <c r="L9"/>
  <c r="S9"/>
  <c r="I25"/>
  <c r="L25"/>
  <c r="I57"/>
  <c r="L57"/>
  <c r="X57"/>
  <c r="I111"/>
  <c r="L111"/>
  <c r="S111"/>
  <c r="H162"/>
  <c r="I162"/>
  <c r="K162"/>
  <c r="L162"/>
  <c r="S162"/>
  <c r="I210"/>
  <c r="K210"/>
  <c r="L210"/>
  <c r="S210"/>
  <c r="I214"/>
  <c r="L214"/>
  <c r="I216"/>
  <c r="L216"/>
  <c r="I221"/>
  <c r="L221"/>
  <c r="S221"/>
  <c r="I379"/>
  <c r="L379"/>
  <c r="S379"/>
  <c r="I188"/>
  <c r="I218"/>
  <c r="L218"/>
  <c r="I173"/>
  <c r="L173"/>
  <c r="I189"/>
  <c r="L189"/>
  <c r="I190"/>
  <c r="L190"/>
  <c r="I203"/>
  <c r="L203"/>
  <c r="H211"/>
  <c r="I211"/>
  <c r="K211"/>
  <c r="L211"/>
  <c r="X211"/>
  <c r="I220"/>
  <c r="L220"/>
  <c r="H367"/>
  <c r="I367"/>
  <c r="K367"/>
  <c r="L367"/>
  <c r="Y367"/>
  <c r="I242"/>
  <c r="L242"/>
  <c r="Y190"/>
  <c r="Y229"/>
  <c r="I445"/>
  <c r="L445"/>
  <c r="L39"/>
  <c r="I39"/>
  <c r="C7" i="7"/>
  <c r="B7"/>
  <c r="I6" i="3"/>
  <c r="L6"/>
  <c r="W6"/>
  <c r="I12"/>
  <c r="L12"/>
  <c r="R12"/>
  <c r="I13"/>
  <c r="K13"/>
  <c r="L13"/>
  <c r="R13"/>
  <c r="I18"/>
  <c r="L18"/>
  <c r="R18"/>
  <c r="I19"/>
  <c r="L19"/>
  <c r="R19"/>
  <c r="I23"/>
  <c r="L23"/>
  <c r="R23"/>
  <c r="I24"/>
  <c r="L24"/>
  <c r="W24"/>
  <c r="I28"/>
  <c r="L28"/>
  <c r="R28"/>
  <c r="I32"/>
  <c r="L32"/>
  <c r="W32"/>
  <c r="I34"/>
  <c r="L34"/>
  <c r="W34"/>
  <c r="I35"/>
  <c r="L35"/>
  <c r="W35"/>
  <c r="I36"/>
  <c r="L36"/>
  <c r="W36"/>
  <c r="I38"/>
  <c r="L38"/>
  <c r="W38"/>
  <c r="I46"/>
  <c r="L46"/>
  <c r="R46"/>
  <c r="I52"/>
  <c r="L52"/>
  <c r="W52"/>
  <c r="I53"/>
  <c r="L53"/>
  <c r="W53"/>
  <c r="L60"/>
  <c r="I76"/>
  <c r="L76"/>
  <c r="W76"/>
  <c r="I81"/>
  <c r="L81"/>
  <c r="W81"/>
  <c r="I87"/>
  <c r="L87"/>
  <c r="R87"/>
  <c r="I88"/>
  <c r="L88"/>
  <c r="R88"/>
  <c r="I91"/>
  <c r="L91"/>
  <c r="W91"/>
  <c r="I100"/>
  <c r="L100"/>
  <c r="W100"/>
  <c r="I101"/>
  <c r="L101"/>
  <c r="R101"/>
  <c r="I102"/>
  <c r="L102"/>
  <c r="R102"/>
  <c r="I103"/>
  <c r="L103"/>
  <c r="R103"/>
  <c r="H106"/>
  <c r="I106"/>
  <c r="K106"/>
  <c r="L106"/>
  <c r="R106"/>
  <c r="H108"/>
  <c r="I108"/>
  <c r="L108"/>
  <c r="R108"/>
  <c r="I186"/>
  <c r="L186"/>
  <c r="W186"/>
  <c r="I187"/>
  <c r="L187"/>
  <c r="I267"/>
  <c r="L267"/>
  <c r="R267"/>
  <c r="H293"/>
  <c r="I293"/>
  <c r="K293"/>
  <c r="L293"/>
  <c r="R293"/>
  <c r="H294"/>
  <c r="I294"/>
  <c r="K294"/>
  <c r="L294"/>
  <c r="R294"/>
  <c r="I297"/>
  <c r="L297"/>
  <c r="W297"/>
  <c r="I328"/>
  <c r="K328"/>
  <c r="L328"/>
  <c r="I331"/>
  <c r="L331"/>
  <c r="R331"/>
  <c r="I334"/>
  <c r="L334"/>
  <c r="R334"/>
  <c r="I322"/>
  <c r="L322"/>
  <c r="R322"/>
  <c r="I112"/>
  <c r="L112"/>
  <c r="I29"/>
  <c r="L29"/>
  <c r="W29"/>
  <c r="I201"/>
  <c r="L201"/>
  <c r="W201"/>
  <c r="I202"/>
  <c r="L202"/>
  <c r="W202"/>
  <c r="I204"/>
  <c r="L204"/>
  <c r="I205"/>
  <c r="L205"/>
  <c r="I206"/>
  <c r="L206"/>
  <c r="I208"/>
  <c r="L208"/>
  <c r="I256"/>
  <c r="L256"/>
  <c r="W256"/>
  <c r="I276"/>
  <c r="L276"/>
  <c r="W276"/>
  <c r="I351"/>
  <c r="L351"/>
  <c r="W351"/>
  <c r="I353"/>
  <c r="L353"/>
  <c r="W353"/>
  <c r="I355"/>
  <c r="L355"/>
  <c r="W355"/>
  <c r="I357"/>
  <c r="L357"/>
  <c r="I377"/>
  <c r="L377"/>
  <c r="I385"/>
  <c r="L385"/>
  <c r="W385"/>
  <c r="I419"/>
  <c r="L419"/>
  <c r="I435"/>
  <c r="L435"/>
  <c r="W435"/>
  <c r="I439"/>
  <c r="L439"/>
  <c r="W439"/>
  <c r="I11"/>
  <c r="K11"/>
  <c r="L11"/>
  <c r="P11"/>
  <c r="H15"/>
  <c r="I15"/>
  <c r="K15"/>
  <c r="L15"/>
  <c r="P15"/>
  <c r="H20"/>
  <c r="I20"/>
  <c r="K20"/>
  <c r="L20"/>
  <c r="U20"/>
  <c r="H26"/>
  <c r="I26"/>
  <c r="K26"/>
  <c r="L26"/>
  <c r="P26"/>
  <c r="H37"/>
  <c r="I37"/>
  <c r="K37"/>
  <c r="L37"/>
  <c r="P37"/>
  <c r="I41"/>
  <c r="L41"/>
  <c r="P41"/>
  <c r="I49"/>
  <c r="K49"/>
  <c r="L49"/>
  <c r="P49"/>
  <c r="H58"/>
  <c r="I58"/>
  <c r="K58"/>
  <c r="L58"/>
  <c r="P58"/>
  <c r="H63"/>
  <c r="I63"/>
  <c r="K63"/>
  <c r="L63"/>
  <c r="U63"/>
  <c r="I66"/>
  <c r="L66"/>
  <c r="L67"/>
  <c r="I68"/>
  <c r="L68"/>
  <c r="I70"/>
  <c r="L70"/>
  <c r="I71"/>
  <c r="L71"/>
  <c r="H73"/>
  <c r="I73"/>
  <c r="L73"/>
  <c r="U73"/>
  <c r="H77"/>
  <c r="I77"/>
  <c r="K77"/>
  <c r="L77"/>
  <c r="P77"/>
  <c r="H80"/>
  <c r="I80"/>
  <c r="K80"/>
  <c r="L80"/>
  <c r="U80"/>
  <c r="I82"/>
  <c r="L82"/>
  <c r="L83"/>
  <c r="P83"/>
  <c r="H85"/>
  <c r="I85"/>
  <c r="K85"/>
  <c r="L85"/>
  <c r="P85"/>
  <c r="H86"/>
  <c r="I86"/>
  <c r="K86"/>
  <c r="L86"/>
  <c r="P86"/>
  <c r="H93"/>
  <c r="I93"/>
  <c r="K93"/>
  <c r="L93"/>
  <c r="P93"/>
  <c r="I122"/>
  <c r="L122"/>
  <c r="I123"/>
  <c r="K123"/>
  <c r="L123"/>
  <c r="P123"/>
  <c r="I125"/>
  <c r="K125"/>
  <c r="L125"/>
  <c r="P125"/>
  <c r="I128"/>
  <c r="K128"/>
  <c r="L128"/>
  <c r="P128"/>
  <c r="I129"/>
  <c r="K129"/>
  <c r="L129"/>
  <c r="P129"/>
  <c r="I130"/>
  <c r="K130"/>
  <c r="L130"/>
  <c r="P130"/>
  <c r="I131"/>
  <c r="K131"/>
  <c r="L131"/>
  <c r="P131"/>
  <c r="I132"/>
  <c r="K132"/>
  <c r="L132"/>
  <c r="P132"/>
  <c r="I133"/>
  <c r="K133"/>
  <c r="L133"/>
  <c r="P133"/>
  <c r="H3"/>
  <c r="I3"/>
  <c r="K3"/>
  <c r="L3"/>
  <c r="P3"/>
  <c r="I135"/>
  <c r="K135"/>
  <c r="L135"/>
  <c r="P135"/>
  <c r="I136"/>
  <c r="L136"/>
  <c r="P136"/>
  <c r="I138"/>
  <c r="K138"/>
  <c r="L138"/>
  <c r="P138"/>
  <c r="I139"/>
  <c r="K139"/>
  <c r="L139"/>
  <c r="P139"/>
  <c r="I140"/>
  <c r="K140"/>
  <c r="L140"/>
  <c r="P140"/>
  <c r="I141"/>
  <c r="K141"/>
  <c r="L141"/>
  <c r="P141"/>
  <c r="I142"/>
  <c r="K142"/>
  <c r="L142"/>
  <c r="P142"/>
  <c r="I146"/>
  <c r="L146"/>
  <c r="P146"/>
  <c r="I148"/>
  <c r="K148"/>
  <c r="L148"/>
  <c r="P148"/>
  <c r="I149"/>
  <c r="L149"/>
  <c r="P149"/>
  <c r="H155"/>
  <c r="I155"/>
  <c r="K155"/>
  <c r="L155"/>
  <c r="P155"/>
  <c r="H158"/>
  <c r="I158"/>
  <c r="K158"/>
  <c r="L158"/>
  <c r="P158"/>
  <c r="H166"/>
  <c r="I166"/>
  <c r="K166"/>
  <c r="L166"/>
  <c r="P166"/>
  <c r="H167"/>
  <c r="I167"/>
  <c r="K167"/>
  <c r="L167"/>
  <c r="P167"/>
  <c r="I170"/>
  <c r="L170"/>
  <c r="I200"/>
  <c r="L200"/>
  <c r="P200"/>
  <c r="H224"/>
  <c r="I224"/>
  <c r="K224"/>
  <c r="L224"/>
  <c r="P224"/>
  <c r="H225"/>
  <c r="I225"/>
  <c r="K225"/>
  <c r="L225"/>
  <c r="P225"/>
  <c r="H226"/>
  <c r="I226"/>
  <c r="K226"/>
  <c r="L226"/>
  <c r="P226"/>
  <c r="H227"/>
  <c r="I227"/>
  <c r="K227"/>
  <c r="L227"/>
  <c r="P227"/>
  <c r="H228"/>
  <c r="I228"/>
  <c r="K228"/>
  <c r="L228"/>
  <c r="P228"/>
  <c r="H239"/>
  <c r="I239"/>
  <c r="K239"/>
  <c r="L239"/>
  <c r="P239"/>
  <c r="I245"/>
  <c r="K245"/>
  <c r="L245"/>
  <c r="P245"/>
  <c r="I247"/>
  <c r="K247"/>
  <c r="L247"/>
  <c r="P247"/>
  <c r="I248"/>
  <c r="K248"/>
  <c r="L248"/>
  <c r="P248"/>
  <c r="H249"/>
  <c r="I249"/>
  <c r="K249"/>
  <c r="L249"/>
  <c r="P249"/>
  <c r="I284"/>
  <c r="L284"/>
  <c r="P284"/>
  <c r="I285"/>
  <c r="L285"/>
  <c r="P285"/>
  <c r="H295"/>
  <c r="I295"/>
  <c r="L295"/>
  <c r="P295"/>
  <c r="I302"/>
  <c r="L302"/>
  <c r="P302"/>
  <c r="I303"/>
  <c r="L303"/>
  <c r="P303"/>
  <c r="H304"/>
  <c r="I304"/>
  <c r="K304"/>
  <c r="L304"/>
  <c r="P304"/>
  <c r="H305"/>
  <c r="I305"/>
  <c r="K305"/>
  <c r="L305"/>
  <c r="P305"/>
  <c r="H306"/>
  <c r="I306"/>
  <c r="K306"/>
  <c r="L306"/>
  <c r="P306"/>
  <c r="H309"/>
  <c r="I309"/>
  <c r="L309"/>
  <c r="P309"/>
  <c r="H314"/>
  <c r="I314"/>
  <c r="K314"/>
  <c r="L314"/>
  <c r="P314"/>
  <c r="H320"/>
  <c r="I320"/>
  <c r="K320"/>
  <c r="L320"/>
  <c r="P320"/>
  <c r="I323"/>
  <c r="K323"/>
  <c r="L323"/>
  <c r="P323"/>
  <c r="I324"/>
  <c r="K324"/>
  <c r="L324"/>
  <c r="P324"/>
  <c r="I325"/>
  <c r="K325"/>
  <c r="L325"/>
  <c r="P325"/>
  <c r="I327"/>
  <c r="K327"/>
  <c r="L327"/>
  <c r="H330"/>
  <c r="I330"/>
  <c r="K330"/>
  <c r="L330"/>
  <c r="P330"/>
  <c r="H332"/>
  <c r="I332"/>
  <c r="K332"/>
  <c r="L332"/>
  <c r="P332"/>
  <c r="H335"/>
  <c r="I335"/>
  <c r="K335"/>
  <c r="L335"/>
  <c r="P335"/>
  <c r="I336"/>
  <c r="K336"/>
  <c r="L336"/>
  <c r="P336"/>
  <c r="I340"/>
  <c r="L340"/>
  <c r="R340"/>
  <c r="H343"/>
  <c r="I343"/>
  <c r="K343"/>
  <c r="L343"/>
  <c r="P343"/>
  <c r="H368"/>
  <c r="I368"/>
  <c r="K368"/>
  <c r="L368"/>
  <c r="P368"/>
  <c r="H373"/>
  <c r="I373"/>
  <c r="L373"/>
  <c r="P373"/>
  <c r="I382"/>
  <c r="L382"/>
  <c r="P382"/>
  <c r="H383"/>
  <c r="I383"/>
  <c r="K383"/>
  <c r="L383"/>
  <c r="H391"/>
  <c r="I391"/>
  <c r="K391"/>
  <c r="L391"/>
  <c r="P391"/>
  <c r="H397"/>
  <c r="I397"/>
  <c r="K397"/>
  <c r="L397"/>
  <c r="P397"/>
  <c r="H398"/>
  <c r="I398"/>
  <c r="K398"/>
  <c r="L398"/>
  <c r="P398"/>
  <c r="I400"/>
  <c r="L400"/>
  <c r="P400"/>
  <c r="H401"/>
  <c r="I401"/>
  <c r="K401"/>
  <c r="L401"/>
  <c r="P401"/>
  <c r="H402"/>
  <c r="I402"/>
  <c r="K402"/>
  <c r="L402"/>
  <c r="P402"/>
  <c r="H403"/>
  <c r="I403"/>
  <c r="K403"/>
  <c r="L403"/>
  <c r="P403"/>
  <c r="H405"/>
  <c r="I405"/>
  <c r="K405"/>
  <c r="L405"/>
  <c r="P405"/>
  <c r="H437"/>
  <c r="I437"/>
  <c r="K437"/>
  <c r="L437"/>
  <c r="P437"/>
  <c r="I441"/>
  <c r="L441"/>
  <c r="P441"/>
  <c r="I442"/>
  <c r="L442"/>
  <c r="P442"/>
  <c r="I5"/>
  <c r="I14"/>
  <c r="I17"/>
  <c r="I21"/>
  <c r="I22"/>
  <c r="I27"/>
  <c r="I33"/>
  <c r="I42"/>
  <c r="I44"/>
  <c r="I45"/>
  <c r="I47"/>
  <c r="I48"/>
  <c r="I54"/>
  <c r="I55"/>
  <c r="I56"/>
  <c r="I59"/>
  <c r="I61"/>
  <c r="I62"/>
  <c r="I64"/>
  <c r="I69"/>
  <c r="I72"/>
  <c r="I78"/>
  <c r="I79"/>
  <c r="I84"/>
  <c r="I89"/>
  <c r="I92"/>
  <c r="I98"/>
  <c r="I107"/>
  <c r="I109"/>
  <c r="I110"/>
  <c r="I113"/>
  <c r="I114"/>
  <c r="I115"/>
  <c r="I117"/>
  <c r="I118"/>
  <c r="I119"/>
  <c r="I120"/>
  <c r="I121"/>
  <c r="I124"/>
  <c r="I126"/>
  <c r="I127"/>
  <c r="I74"/>
  <c r="I134"/>
  <c r="I143"/>
  <c r="I144"/>
  <c r="I145"/>
  <c r="I147"/>
  <c r="I150"/>
  <c r="I151"/>
  <c r="I152"/>
  <c r="I154"/>
  <c r="I156"/>
  <c r="I157"/>
  <c r="I159"/>
  <c r="I160"/>
  <c r="I161"/>
  <c r="I163"/>
  <c r="I164"/>
  <c r="I165"/>
  <c r="I168"/>
  <c r="I169"/>
  <c r="I172"/>
  <c r="I174"/>
  <c r="I175"/>
  <c r="I176"/>
  <c r="I177"/>
  <c r="I178"/>
  <c r="I179"/>
  <c r="I180"/>
  <c r="I181"/>
  <c r="I183"/>
  <c r="I184"/>
  <c r="I185"/>
  <c r="I194"/>
  <c r="I195"/>
  <c r="I196"/>
  <c r="I199"/>
  <c r="I212"/>
  <c r="I222"/>
  <c r="I231"/>
  <c r="I232"/>
  <c r="I233"/>
  <c r="I237"/>
  <c r="I238"/>
  <c r="I240"/>
  <c r="I241"/>
  <c r="I243"/>
  <c r="I244"/>
  <c r="I250"/>
  <c r="I251"/>
  <c r="I252"/>
  <c r="I253"/>
  <c r="I254"/>
  <c r="I255"/>
  <c r="I257"/>
  <c r="I258"/>
  <c r="I259"/>
  <c r="I260"/>
  <c r="I261"/>
  <c r="I262"/>
  <c r="I263"/>
  <c r="I264"/>
  <c r="I265"/>
  <c r="I268"/>
  <c r="I270"/>
  <c r="I272"/>
  <c r="I273"/>
  <c r="I275"/>
  <c r="I278"/>
  <c r="I280"/>
  <c r="I281"/>
  <c r="I282"/>
  <c r="I287"/>
  <c r="I288"/>
  <c r="I291"/>
  <c r="I292"/>
  <c r="I296"/>
  <c r="I299"/>
  <c r="I300"/>
  <c r="I301"/>
  <c r="I307"/>
  <c r="I308"/>
  <c r="I310"/>
  <c r="I312"/>
  <c r="I315"/>
  <c r="I316"/>
  <c r="I317"/>
  <c r="I319"/>
  <c r="I321"/>
  <c r="I326"/>
  <c r="I329"/>
  <c r="I333"/>
  <c r="I337"/>
  <c r="I338"/>
  <c r="I339"/>
  <c r="I341"/>
  <c r="I342"/>
  <c r="I344"/>
  <c r="I345"/>
  <c r="I346"/>
  <c r="I347"/>
  <c r="I348"/>
  <c r="I349"/>
  <c r="I350"/>
  <c r="I352"/>
  <c r="I356"/>
  <c r="I359"/>
  <c r="I363"/>
  <c r="I364"/>
  <c r="I365"/>
  <c r="I369"/>
  <c r="I370"/>
  <c r="I371"/>
  <c r="I374"/>
  <c r="I375"/>
  <c r="I376"/>
  <c r="I378"/>
  <c r="I380"/>
  <c r="I381"/>
  <c r="I384"/>
  <c r="I387"/>
  <c r="I388"/>
  <c r="I389"/>
  <c r="I390"/>
  <c r="I392"/>
  <c r="I393"/>
  <c r="I394"/>
  <c r="I395"/>
  <c r="I396"/>
  <c r="I399"/>
  <c r="I404"/>
  <c r="I406"/>
  <c r="I407"/>
  <c r="I408"/>
  <c r="I409"/>
  <c r="I410"/>
  <c r="I412"/>
  <c r="I416"/>
  <c r="I418"/>
  <c r="I420"/>
  <c r="I421"/>
  <c r="I425"/>
  <c r="I427"/>
  <c r="I428"/>
  <c r="I430"/>
  <c r="I433"/>
  <c r="I434"/>
  <c r="I436"/>
  <c r="I438"/>
  <c r="I440"/>
  <c r="I443"/>
  <c r="I444"/>
  <c r="L5"/>
  <c r="L14"/>
  <c r="L17"/>
  <c r="L21"/>
  <c r="L22"/>
  <c r="L27"/>
  <c r="L33"/>
  <c r="L42"/>
  <c r="L44"/>
  <c r="L45"/>
  <c r="L47"/>
  <c r="L48"/>
  <c r="L54"/>
  <c r="L55"/>
  <c r="L56"/>
  <c r="L59"/>
  <c r="L61"/>
  <c r="L62"/>
  <c r="L64"/>
  <c r="L69"/>
  <c r="L72"/>
  <c r="L74"/>
  <c r="L78"/>
  <c r="L79"/>
  <c r="L84"/>
  <c r="L89"/>
  <c r="L92"/>
  <c r="L98"/>
  <c r="L107"/>
  <c r="L109"/>
  <c r="L110"/>
  <c r="L113"/>
  <c r="L114"/>
  <c r="L115"/>
  <c r="L117"/>
  <c r="L118"/>
  <c r="L119"/>
  <c r="L120"/>
  <c r="L121"/>
  <c r="L124"/>
  <c r="L126"/>
  <c r="L127"/>
  <c r="L134"/>
  <c r="L143"/>
  <c r="L144"/>
  <c r="L145"/>
  <c r="L147"/>
  <c r="L150"/>
  <c r="L151"/>
  <c r="L152"/>
  <c r="L154"/>
  <c r="L156"/>
  <c r="L157"/>
  <c r="L159"/>
  <c r="L160"/>
  <c r="L161"/>
  <c r="L164"/>
  <c r="L165"/>
  <c r="L168"/>
  <c r="L169"/>
  <c r="L172"/>
  <c r="L174"/>
  <c r="L175"/>
  <c r="L176"/>
  <c r="L177"/>
  <c r="L178"/>
  <c r="L179"/>
  <c r="L180"/>
  <c r="L181"/>
  <c r="L183"/>
  <c r="L184"/>
  <c r="L185"/>
  <c r="L194"/>
  <c r="L195"/>
  <c r="L196"/>
  <c r="L199"/>
  <c r="L212"/>
  <c r="L222"/>
  <c r="L231"/>
  <c r="L232"/>
  <c r="L233"/>
  <c r="L237"/>
  <c r="L238"/>
  <c r="L240"/>
  <c r="L241"/>
  <c r="L243"/>
  <c r="L244"/>
  <c r="L250"/>
  <c r="L251"/>
  <c r="L252"/>
  <c r="L253"/>
  <c r="L254"/>
  <c r="L255"/>
  <c r="L257"/>
  <c r="L258"/>
  <c r="L259"/>
  <c r="L260"/>
  <c r="L261"/>
  <c r="L262"/>
  <c r="L263"/>
  <c r="L264"/>
  <c r="L265"/>
  <c r="L268"/>
  <c r="L270"/>
  <c r="L272"/>
  <c r="L273"/>
  <c r="L275"/>
  <c r="L278"/>
  <c r="L280"/>
  <c r="L281"/>
  <c r="L282"/>
  <c r="L287"/>
  <c r="L288"/>
  <c r="L291"/>
  <c r="L292"/>
  <c r="L296"/>
  <c r="L299"/>
  <c r="L300"/>
  <c r="L301"/>
  <c r="L307"/>
  <c r="L308"/>
  <c r="L310"/>
  <c r="L312"/>
  <c r="L315"/>
  <c r="L316"/>
  <c r="L317"/>
  <c r="L319"/>
  <c r="L321"/>
  <c r="L326"/>
  <c r="L329"/>
  <c r="L333"/>
  <c r="L337"/>
  <c r="L338"/>
  <c r="L339"/>
  <c r="L341"/>
  <c r="L342"/>
  <c r="L344"/>
  <c r="L345"/>
  <c r="L346"/>
  <c r="L347"/>
  <c r="L348"/>
  <c r="L349"/>
  <c r="L350"/>
  <c r="L352"/>
  <c r="L356"/>
  <c r="L359"/>
  <c r="L363"/>
  <c r="L364"/>
  <c r="L365"/>
  <c r="L369"/>
  <c r="L370"/>
  <c r="L371"/>
  <c r="L374"/>
  <c r="L375"/>
  <c r="L376"/>
  <c r="L378"/>
  <c r="L380"/>
  <c r="L381"/>
  <c r="L384"/>
  <c r="L387"/>
  <c r="L388"/>
  <c r="L389"/>
  <c r="L390"/>
  <c r="L392"/>
  <c r="L393"/>
  <c r="L394"/>
  <c r="L395"/>
  <c r="L396"/>
  <c r="L399"/>
  <c r="L404"/>
  <c r="L406"/>
  <c r="L407"/>
  <c r="L408"/>
  <c r="L409"/>
  <c r="L410"/>
  <c r="L412"/>
  <c r="L416"/>
  <c r="L418"/>
  <c r="L420"/>
  <c r="L421"/>
  <c r="L425"/>
  <c r="L427"/>
  <c r="L428"/>
  <c r="L430"/>
  <c r="L433"/>
  <c r="L434"/>
  <c r="L436"/>
  <c r="L438"/>
  <c r="L440"/>
  <c r="L443"/>
  <c r="L444"/>
  <c r="F10" i="6"/>
  <c r="F11"/>
  <c r="F8"/>
  <c r="F9"/>
  <c r="F12"/>
  <c r="E10"/>
  <c r="E11"/>
  <c r="E8"/>
  <c r="E9"/>
  <c r="E12"/>
  <c r="F6"/>
  <c r="F7"/>
  <c r="F5"/>
  <c r="E6"/>
  <c r="E7"/>
  <c r="E5"/>
  <c r="N6"/>
  <c r="N7"/>
  <c r="N8"/>
  <c r="N9"/>
  <c r="N10"/>
  <c r="N11"/>
  <c r="N5"/>
  <c r="M5"/>
  <c r="M6"/>
  <c r="M7"/>
  <c r="M8"/>
  <c r="M9"/>
  <c r="M10"/>
  <c r="M11"/>
  <c r="C16" i="5"/>
  <c r="B16"/>
  <c r="G18"/>
  <c r="G19"/>
  <c r="F18"/>
  <c r="F19"/>
  <c r="L4" i="3"/>
  <c r="P4"/>
  <c r="Z2"/>
</calcChain>
</file>

<file path=xl/comments1.xml><?xml version="1.0" encoding="utf-8"?>
<comments xmlns="http://schemas.openxmlformats.org/spreadsheetml/2006/main">
  <authors>
    <author>17 SB PAO</author>
  </authors>
  <commentList>
    <comment ref="E82" authorId="0">
      <text>
        <r>
          <rPr>
            <b/>
            <sz val="9"/>
            <color indexed="81"/>
            <rFont val="Calibri"/>
            <family val="2"/>
          </rPr>
          <t xml:space="preserve">FY14
</t>
        </r>
      </text>
    </comment>
    <comment ref="F82" authorId="0">
      <text>
        <r>
          <rPr>
            <b/>
            <sz val="9"/>
            <color indexed="81"/>
            <rFont val="Calibri"/>
            <family val="2"/>
          </rPr>
          <t xml:space="preserve">FY 15
</t>
        </r>
        <r>
          <rPr>
            <sz val="9"/>
            <color indexed="81"/>
            <rFont val="Calibri"/>
            <family val="2"/>
          </rPr>
          <t xml:space="preserve">
</t>
        </r>
      </text>
    </comment>
    <comment ref="E83" authorId="0">
      <text>
        <r>
          <rPr>
            <b/>
            <sz val="9"/>
            <color indexed="81"/>
            <rFont val="Calibri"/>
            <family val="2"/>
          </rPr>
          <t xml:space="preserve">FY14
</t>
        </r>
        <r>
          <rPr>
            <sz val="9"/>
            <color indexed="81"/>
            <rFont val="Calibri"/>
            <family val="2"/>
          </rPr>
          <t xml:space="preserve">
</t>
        </r>
      </text>
    </comment>
    <comment ref="F83" authorId="0">
      <text>
        <r>
          <rPr>
            <b/>
            <sz val="9"/>
            <color indexed="81"/>
            <rFont val="Calibri"/>
            <family val="2"/>
          </rPr>
          <t xml:space="preserve">FY15
</t>
        </r>
        <r>
          <rPr>
            <sz val="9"/>
            <color indexed="81"/>
            <rFont val="Calibri"/>
            <family val="2"/>
          </rPr>
          <t xml:space="preserve">
</t>
        </r>
      </text>
    </comment>
  </commentList>
</comments>
</file>

<file path=xl/comments2.xml><?xml version="1.0" encoding="utf-8"?>
<comments xmlns="http://schemas.openxmlformats.org/spreadsheetml/2006/main">
  <authors>
    <author>17 SB PAO</author>
  </authors>
  <commentList>
    <comment ref="E3" authorId="0">
      <text>
        <r>
          <rPr>
            <sz val="9"/>
            <color indexed="81"/>
            <rFont val="Calibri"/>
            <family val="2"/>
          </rPr>
          <t xml:space="preserve">Policy is great. Funding not needed to implement policy.
</t>
        </r>
      </text>
    </comment>
  </commentList>
</comments>
</file>

<file path=xl/sharedStrings.xml><?xml version="1.0" encoding="utf-8"?>
<sst xmlns="http://schemas.openxmlformats.org/spreadsheetml/2006/main" count="3673" uniqueCount="1617">
  <si>
    <t>Department</t>
  </si>
  <si>
    <t>Budget account number</t>
  </si>
  <si>
    <t>Budget page</t>
  </si>
  <si>
    <t>2012 Gov Rec</t>
  </si>
  <si>
    <t>2013 Gov Rec</t>
  </si>
  <si>
    <t>2016 Gov Rec</t>
  </si>
  <si>
    <t>2017 Gov Rec</t>
  </si>
  <si>
    <t>2016 Difference</t>
  </si>
  <si>
    <t>2017 Difference</t>
  </si>
  <si>
    <t>Reason</t>
  </si>
  <si>
    <t>Adjutant General</t>
  </si>
  <si>
    <t>Colorado River Commission</t>
  </si>
  <si>
    <t xml:space="preserve">Commission on Economic Development </t>
  </si>
  <si>
    <t>Commission on Ethics</t>
  </si>
  <si>
    <t>Commission on Mineral Resources</t>
  </si>
  <si>
    <t>Commission on Peace Officer's Standards &amp; Training</t>
  </si>
  <si>
    <t>Commission on Post Secondary Education</t>
  </si>
  <si>
    <t>Commission on Tourism</t>
  </si>
  <si>
    <t>Controller's Office</t>
  </si>
  <si>
    <t>Deferred Compensation</t>
  </si>
  <si>
    <t>Department of Administration</t>
  </si>
  <si>
    <t>Department of Agriculture</t>
  </si>
  <si>
    <t>Department of Business and Industry</t>
  </si>
  <si>
    <t>Department of Conservation and National Resources</t>
  </si>
  <si>
    <t>Department of Corrections</t>
  </si>
  <si>
    <t>Department of Cultural Affairs</t>
  </si>
  <si>
    <t>Department of Education</t>
  </si>
  <si>
    <t>Department of Taxation</t>
  </si>
  <si>
    <t>Department of Tourism and Cultrual Affairs</t>
  </si>
  <si>
    <t>Department of Veterans Services</t>
  </si>
  <si>
    <t>Department of Wildlife</t>
  </si>
  <si>
    <t>Gaming Control Board</t>
  </si>
  <si>
    <t>Governor's Office</t>
  </si>
  <si>
    <t>Governor's Office of Economic Development</t>
  </si>
  <si>
    <t>Judical Branch</t>
  </si>
  <si>
    <t>Judicial Discipline Commission</t>
  </si>
  <si>
    <t>Lt. Gov's Office</t>
  </si>
  <si>
    <t>Office of Veteran Services</t>
  </si>
  <si>
    <t>Public Employees Benefits</t>
  </si>
  <si>
    <t>PUC</t>
  </si>
  <si>
    <t>Renewable Energy &amp; Efficiency Authority</t>
  </si>
  <si>
    <t>Secretary of State's Office</t>
  </si>
  <si>
    <t>Silver State Health Insurance Exchange</t>
  </si>
  <si>
    <t>State Public Charter School Authority</t>
  </si>
  <si>
    <t>Supreme Court</t>
  </si>
  <si>
    <t>TRPA</t>
  </si>
  <si>
    <t>Treasurer's Office</t>
  </si>
  <si>
    <t>Western Interstate Commission on Higher Education</t>
  </si>
  <si>
    <t>Elected Officials</t>
  </si>
  <si>
    <t>Governor's office</t>
  </si>
  <si>
    <t>Elected - 10</t>
  </si>
  <si>
    <t>Governor's Mansion Maintenance</t>
  </si>
  <si>
    <t>101-1001</t>
  </si>
  <si>
    <t>Elected - 14</t>
  </si>
  <si>
    <t>Governor's Washington Office</t>
  </si>
  <si>
    <t>101-1011</t>
  </si>
  <si>
    <t>Elected - 15</t>
  </si>
  <si>
    <t>2016 NPRI recommendation</t>
  </si>
  <si>
    <t>2017 NPRI recommendation</t>
  </si>
  <si>
    <t>Governor's Office of Energy</t>
  </si>
  <si>
    <t>101-4868</t>
  </si>
  <si>
    <t>Elected - 23</t>
  </si>
  <si>
    <t>Renewable Energy Fund</t>
  </si>
  <si>
    <t>101-4869</t>
  </si>
  <si>
    <t>Elected - 26</t>
  </si>
  <si>
    <t>Renewable Energy, Efficiency and Conservation Loan</t>
  </si>
  <si>
    <t>101-4875</t>
  </si>
  <si>
    <t>Elected - 28</t>
  </si>
  <si>
    <t>Office of Science, Innovation and Technology</t>
  </si>
  <si>
    <t>101-1003</t>
  </si>
  <si>
    <t>Elected - 33</t>
  </si>
  <si>
    <t>Governor's Office High Level Nuclear Waste</t>
  </si>
  <si>
    <t>101-1005</t>
  </si>
  <si>
    <t>Governor's Finance Office</t>
  </si>
  <si>
    <t>101-1340</t>
  </si>
  <si>
    <t>Elected - 59</t>
  </si>
  <si>
    <t>Elected - 45</t>
  </si>
  <si>
    <t>Governor's Finanace Off - Div of Internal Audits</t>
  </si>
  <si>
    <t>101-1342</t>
  </si>
  <si>
    <t>Elected - 66</t>
  </si>
  <si>
    <t>Lieutenant Governor</t>
  </si>
  <si>
    <t>101-1020</t>
  </si>
  <si>
    <t>Elected - 70</t>
  </si>
  <si>
    <t>101-1000</t>
  </si>
  <si>
    <t>101-1002</t>
  </si>
  <si>
    <t>Elected - 83</t>
  </si>
  <si>
    <t>Attorney General's Office</t>
  </si>
  <si>
    <t>AG - Administrative Fund</t>
  </si>
  <si>
    <t>101-1030</t>
  </si>
  <si>
    <t>AG - Special Fund</t>
  </si>
  <si>
    <t>101-1031</t>
  </si>
  <si>
    <t>AG - Workers' Comp Fund</t>
  </si>
  <si>
    <t>101-1033</t>
  </si>
  <si>
    <t>AG - Crime Prevention</t>
  </si>
  <si>
    <t>AG - Medicaid Fraud</t>
  </si>
  <si>
    <t>AG - Consumer Advocate</t>
  </si>
  <si>
    <t>AG - Violence against Women Grants</t>
  </si>
  <si>
    <t>AG - Council for Prosecuting Attorneys</t>
  </si>
  <si>
    <t>AG - Victims of Domestic Violence</t>
  </si>
  <si>
    <t>AG - Attorney General Tort Claim Fund</t>
  </si>
  <si>
    <t>AG - National Settlement Administration</t>
  </si>
  <si>
    <t>101-1036</t>
  </si>
  <si>
    <t>101-1037</t>
  </si>
  <si>
    <t>101-1038</t>
  </si>
  <si>
    <t>101-1040</t>
  </si>
  <si>
    <t>101-1041</t>
  </si>
  <si>
    <t>101-1042</t>
  </si>
  <si>
    <t>101-1348</t>
  </si>
  <si>
    <t>101-1045</t>
  </si>
  <si>
    <t>Elected - 96</t>
  </si>
  <si>
    <t>Elected - 101</t>
  </si>
  <si>
    <t>Elected - 107</t>
  </si>
  <si>
    <t>Elected - 112</t>
  </si>
  <si>
    <t>Elected - 116</t>
  </si>
  <si>
    <t>Elected - 121</t>
  </si>
  <si>
    <t>Elected - 125</t>
  </si>
  <si>
    <t>Elected - 129</t>
  </si>
  <si>
    <t>Elected - 134</t>
  </si>
  <si>
    <t>Elected - 139</t>
  </si>
  <si>
    <t>Elected - 146</t>
  </si>
  <si>
    <t>SOS - Secretary of State</t>
  </si>
  <si>
    <t>101-1050</t>
  </si>
  <si>
    <t>Elected - 169</t>
  </si>
  <si>
    <t>SOS - HAVA Election Reform</t>
  </si>
  <si>
    <t>101-1051</t>
  </si>
  <si>
    <t>Elected - 173</t>
  </si>
  <si>
    <t>Treasurer - State Treasurer</t>
  </si>
  <si>
    <t>101-1080</t>
  </si>
  <si>
    <t>Elected - 184</t>
  </si>
  <si>
    <t>#3 Agency Request</t>
  </si>
  <si>
    <t>Treasurer - Bond Interest &amp; Redemption</t>
  </si>
  <si>
    <t>395-1082</t>
  </si>
  <si>
    <t>Elected - 188</t>
  </si>
  <si>
    <t>Treasurer - Municipal Bond Bank Revenue</t>
  </si>
  <si>
    <t>745-1086</t>
  </si>
  <si>
    <t>Elected - 190</t>
  </si>
  <si>
    <t>Treasurer - Municipal Bond Bank Debt Service</t>
  </si>
  <si>
    <t>395-1087</t>
  </si>
  <si>
    <t>Elected - 192</t>
  </si>
  <si>
    <t>Treasurer - Nevada College Savings Trust</t>
  </si>
  <si>
    <t>101-1092</t>
  </si>
  <si>
    <t>Elected - 200</t>
  </si>
  <si>
    <t>Treasurer - Endowment Account</t>
  </si>
  <si>
    <t>101-1094</t>
  </si>
  <si>
    <t>Treasurer - Higher Education Tuition Admin</t>
  </si>
  <si>
    <t>603-1081</t>
  </si>
  <si>
    <t>Elected - 210</t>
  </si>
  <si>
    <t>Elected - 203</t>
  </si>
  <si>
    <t>Treasurer - Millennium Scholarship Administration</t>
  </si>
  <si>
    <t>261-1088</t>
  </si>
  <si>
    <t>Elected - 218</t>
  </si>
  <si>
    <t>Treasurer - Unclaimed Property</t>
  </si>
  <si>
    <t>101-3815</t>
  </si>
  <si>
    <t>Elected - 226</t>
  </si>
  <si>
    <t>Controller - Controller's Office</t>
  </si>
  <si>
    <t>101-1130</t>
  </si>
  <si>
    <t>Elected - 240</t>
  </si>
  <si>
    <t>Controller - Debt Recovery Account</t>
  </si>
  <si>
    <t>101-1140</t>
  </si>
  <si>
    <t>Elected - 242</t>
  </si>
  <si>
    <t>101-1343</t>
  </si>
  <si>
    <t>Elected - 249</t>
  </si>
  <si>
    <t>Legislative Counsel Bureau</t>
  </si>
  <si>
    <t>327-2631</t>
  </si>
  <si>
    <t>Legislative</t>
  </si>
  <si>
    <t>Legislative - 14</t>
  </si>
  <si>
    <t>Leg - Nevada Legislasture Interim</t>
  </si>
  <si>
    <t>327-2626</t>
  </si>
  <si>
    <t>Legislative - 16</t>
  </si>
  <si>
    <t>Leg - Printing Office</t>
  </si>
  <si>
    <t>741-1330</t>
  </si>
  <si>
    <t>Legislative - 22</t>
  </si>
  <si>
    <t>101-1494</t>
  </si>
  <si>
    <t>Judicial - 21</t>
  </si>
  <si>
    <t>Court of Appeals</t>
  </si>
  <si>
    <t>101-1489</t>
  </si>
  <si>
    <t>Judicial - 25</t>
  </si>
  <si>
    <t>State Judicial Elected Officials</t>
  </si>
  <si>
    <t>101-1490</t>
  </si>
  <si>
    <t>Judicial - 28</t>
  </si>
  <si>
    <t>Judicial Selection</t>
  </si>
  <si>
    <t>101-1498</t>
  </si>
  <si>
    <t>Judicial - 29</t>
  </si>
  <si>
    <t>Senior Justice &amp; Senior Judge Program</t>
  </si>
  <si>
    <t>101-1496</t>
  </si>
  <si>
    <t>Law Library</t>
  </si>
  <si>
    <t>101-2889</t>
  </si>
  <si>
    <t>Judicial - 31</t>
  </si>
  <si>
    <t>Judicial - 36</t>
  </si>
  <si>
    <t>Administrative Office of the Courts</t>
  </si>
  <si>
    <t>101-1483</t>
  </si>
  <si>
    <t>Judicial - 44</t>
  </si>
  <si>
    <t>Judicial Programs and Services Division</t>
  </si>
  <si>
    <t>101-1484</t>
  </si>
  <si>
    <t>Judicial - 50</t>
  </si>
  <si>
    <t>Uniform System of Judicial Records</t>
  </si>
  <si>
    <t>101-1486</t>
  </si>
  <si>
    <t>Judicial - 57</t>
  </si>
  <si>
    <t>Judicial Education</t>
  </si>
  <si>
    <t>101-1487</t>
  </si>
  <si>
    <t>Judicial - 64</t>
  </si>
  <si>
    <t>101-1495</t>
  </si>
  <si>
    <t>Speciality Court</t>
  </si>
  <si>
    <t>JUDICIAL - 68</t>
  </si>
  <si>
    <t>JUDICIAL SUPPORT, GOVERNANCE AND SPECIAL EVENTS</t>
  </si>
  <si>
    <t>101-1493</t>
  </si>
  <si>
    <t>JUDICIAL - 70</t>
  </si>
  <si>
    <t>101-1491</t>
  </si>
  <si>
    <t>JUDICIAL RETIREMENT SYSTEM STATE SHARE</t>
  </si>
  <si>
    <t>JUDICIAL - 71</t>
  </si>
  <si>
    <t>101-1492</t>
  </si>
  <si>
    <t>FORECLOSURE MEDIATION PROGRAM</t>
  </si>
  <si>
    <t>Judicial Branch</t>
  </si>
  <si>
    <t>JUDICIAL - 80</t>
  </si>
  <si>
    <t>JUDICIAL DISCIPLINE</t>
  </si>
  <si>
    <t>101-1497</t>
  </si>
  <si>
    <t>Judicial - 88</t>
  </si>
  <si>
    <t>101-1337</t>
  </si>
  <si>
    <t>ADMIN - 8</t>
  </si>
  <si>
    <t>101-1301</t>
  </si>
  <si>
    <t>Admin - 11</t>
  </si>
  <si>
    <t>101-1302</t>
  </si>
  <si>
    <t>Admin - 12</t>
  </si>
  <si>
    <t>101-1345</t>
  </si>
  <si>
    <t>Admin - 13</t>
  </si>
  <si>
    <t>717-1363</t>
  </si>
  <si>
    <t>Admin - 28</t>
  </si>
  <si>
    <t>101-1339</t>
  </si>
  <si>
    <t>Admin - 29</t>
  </si>
  <si>
    <t>721-1373</t>
  </si>
  <si>
    <t>Admin - 46</t>
  </si>
  <si>
    <t>721-1365</t>
  </si>
  <si>
    <t>Admin - 57</t>
  </si>
  <si>
    <t>721-1385</t>
  </si>
  <si>
    <t>Admin - 67</t>
  </si>
  <si>
    <t>721-1386</t>
  </si>
  <si>
    <t>Admin - 75</t>
  </si>
  <si>
    <t>721-1387</t>
  </si>
  <si>
    <t>Admin - 83</t>
  </si>
  <si>
    <t>721-1388</t>
  </si>
  <si>
    <t>ADMIN - 94</t>
  </si>
  <si>
    <t>721-1389</t>
  </si>
  <si>
    <t>Admin - 101</t>
  </si>
  <si>
    <t>721-1405</t>
  </si>
  <si>
    <t>Admin - 109</t>
  </si>
  <si>
    <t>716-1371</t>
  </si>
  <si>
    <t>Admin - 119</t>
  </si>
  <si>
    <t>101-1341</t>
  </si>
  <si>
    <t>Admin - 124</t>
  </si>
  <si>
    <t>101-1540</t>
  </si>
  <si>
    <t>Admin - 140</t>
  </si>
  <si>
    <t>101-1562</t>
  </si>
  <si>
    <t>Admin - 147</t>
  </si>
  <si>
    <t>101-1560</t>
  </si>
  <si>
    <t>Admin - 152</t>
  </si>
  <si>
    <t>710-1349</t>
  </si>
  <si>
    <t>Admin - 164</t>
  </si>
  <si>
    <t>712-1366</t>
  </si>
  <si>
    <t>Admin - 174</t>
  </si>
  <si>
    <t>718-1358</t>
  </si>
  <si>
    <t>Admin - 183</t>
  </si>
  <si>
    <t>715-1352</t>
  </si>
  <si>
    <t>Admin - 197</t>
  </si>
  <si>
    <t>711-1354</t>
  </si>
  <si>
    <t>Admin - 210</t>
  </si>
  <si>
    <t>711-1356</t>
  </si>
  <si>
    <t>Admin - 215</t>
  </si>
  <si>
    <t>101-2891</t>
  </si>
  <si>
    <t>ADMIN - 229</t>
  </si>
  <si>
    <t>101-1052</t>
  </si>
  <si>
    <t>ADMIN - 235</t>
  </si>
  <si>
    <t>ADMIN - 239</t>
  </si>
  <si>
    <t>101-2895</t>
  </si>
  <si>
    <t>713-1346</t>
  </si>
  <si>
    <t>ADMIN - 245</t>
  </si>
  <si>
    <t>713-1347</t>
  </si>
  <si>
    <t>ADMIN - 248</t>
  </si>
  <si>
    <t>101-1053</t>
  </si>
  <si>
    <t>ADMIN - 250</t>
  </si>
  <si>
    <t>287-4895</t>
  </si>
  <si>
    <t>ADMIN - 257</t>
  </si>
  <si>
    <t>ADMIN - 265</t>
  </si>
  <si>
    <t>101-1015</t>
  </si>
  <si>
    <t>BOE - GENERAL FUND SALARY ADJUSTMENT</t>
  </si>
  <si>
    <t>Administration - DIRECTOR'S OFFICE</t>
  </si>
  <si>
    <t>Administration - SPECIAL APPROPRIATIONS</t>
  </si>
  <si>
    <t>Administration - JUDICIAL COLL &amp; COLL OF JUVENILE &amp; FAMILY JUSTICE</t>
  </si>
  <si>
    <t>Administration - MERIT AWARD BOARD</t>
  </si>
  <si>
    <t>Administration - HUMAN RESOURCE MANAGEMENT</t>
  </si>
  <si>
    <t>Administration - HRM - UNEMPLOYMENT COMPENSATION</t>
  </si>
  <si>
    <t>Administration - IT - OFFICE OF CIO</t>
  </si>
  <si>
    <t>Administration - IT - APPLICATION SUPPORT</t>
  </si>
  <si>
    <t>Administration - IT - COMPUTER FACILITY</t>
  </si>
  <si>
    <t>Administration - IT - DATA COMM &amp; NETWORK ENGIN</t>
  </si>
  <si>
    <t>Administration - IT - TELECOMMUNICATIONS</t>
  </si>
  <si>
    <t>Administration - IT - NETWORK TRANSPORT SERVICES</t>
  </si>
  <si>
    <t>Administration - IT - SECURITY</t>
  </si>
  <si>
    <t>Administration - IT - INFO TECH CONSOLIDATION DPS</t>
  </si>
  <si>
    <t>Administration - ADMINISTRATIVE SERVICES</t>
  </si>
  <si>
    <t>Administration - GRANTS OFFICE</t>
  </si>
  <si>
    <t>Administration - SPWD - ADMINISTRATION</t>
  </si>
  <si>
    <t>Administration - SPWD - ENGINEERING AND PLANNING</t>
  </si>
  <si>
    <t>Administration - SPWD - FACILITY COND &amp; ANALYSIS</t>
  </si>
  <si>
    <t>Administration - SPWD - BUILDINGS &amp; GROUNDS</t>
  </si>
  <si>
    <t>Administration - SPWD - MARLETTE LAKE</t>
  </si>
  <si>
    <t>Administration - PURCHASING</t>
  </si>
  <si>
    <t>Administration - INSURANCE &amp; LOSS PREVENTION</t>
  </si>
  <si>
    <t>Administration - FLEET SERVICES</t>
  </si>
  <si>
    <t>Administration - FLEET SERVICES CAPITAL PURCHASE</t>
  </si>
  <si>
    <t>Administration - NSLA - NEVADA STATE LIBRARY</t>
  </si>
  <si>
    <t>Administration - NSLA - ARCHIVES AND RECORDS</t>
  </si>
  <si>
    <t>Administration - NSLA - CLAN</t>
  </si>
  <si>
    <t>Administration - NSLA - MAIL SERVICES</t>
  </si>
  <si>
    <t>Administration - NSLA - MAIL SERVICES EQUIPMENT</t>
  </si>
  <si>
    <t>Administration - NSLA - IPS EQUIPMENT/SOFTWARE</t>
  </si>
  <si>
    <t>Administration - VICTIMS OF CRIME</t>
  </si>
  <si>
    <t>Administration - HEARINGS DIVISION</t>
  </si>
  <si>
    <t>101-4883</t>
  </si>
  <si>
    <t>Admin - 270</t>
  </si>
  <si>
    <t>DEPARTMENT OF TAXATION</t>
  </si>
  <si>
    <t>101-2361</t>
  </si>
  <si>
    <t>TAXATION - 16</t>
  </si>
  <si>
    <t>NDE - DISTRIBUTIVE SCHOOL ACCOUNT</t>
  </si>
  <si>
    <t>101-2610</t>
  </si>
  <si>
    <t>K-12 EDUCATION - 23</t>
  </si>
  <si>
    <t>NDE - OTHER STATE EDUCATION PROGRAMS</t>
  </si>
  <si>
    <t>101-2699</t>
  </si>
  <si>
    <t>K-12 EDUCATION - 31</t>
  </si>
  <si>
    <t>NDE - SCHOOL REMEDIATION TRUST FUND</t>
  </si>
  <si>
    <t>101-2615</t>
  </si>
  <si>
    <t>K-12 EDUCATION - 36</t>
  </si>
  <si>
    <t>NDE - STATE SUPPLEMENTAL SCHOOL SUPPORT ACCOUNT</t>
  </si>
  <si>
    <t>101-2617</t>
  </si>
  <si>
    <t>K-12 EDUCATION - 38</t>
  </si>
  <si>
    <t>NDE - PROFESSIONAL DEVELOPMENT PROGRAMS</t>
  </si>
  <si>
    <t>000-2618</t>
  </si>
  <si>
    <t>K-12 EDUCATION - 40</t>
  </si>
  <si>
    <t>NDE - EDUCATIONAL TRUST ACCOUNT</t>
  </si>
  <si>
    <t>101-2614</t>
  </si>
  <si>
    <t>K-12 EDUCATION - 43</t>
  </si>
  <si>
    <t>NDE - INCENTIVES FOR LICENSED EDUCATION PERSONNEL</t>
  </si>
  <si>
    <t>101-2616</t>
  </si>
  <si>
    <t>K-12 EDUCATION - 44</t>
  </si>
  <si>
    <t>NDE - OFFICE OF THE SUPERINTENDENT</t>
  </si>
  <si>
    <t>101-2673</t>
  </si>
  <si>
    <t>K-12 EDUCATION - 59</t>
  </si>
  <si>
    <t>NDE - DISTRICT SUPPORT SERVICES</t>
  </si>
  <si>
    <t>101-2719</t>
  </si>
  <si>
    <t>K-12 EDUCATION - 72</t>
  </si>
  <si>
    <t>NDE - STANDARDS AND INSTRUCTIONAL SUPPORT</t>
  </si>
  <si>
    <t>101-2675</t>
  </si>
  <si>
    <t>K-12 EDUCATION - 77</t>
  </si>
  <si>
    <t>NDE - DEPARTMENT SUPPORT SERVICES</t>
  </si>
  <si>
    <t>101-2720</t>
  </si>
  <si>
    <t>K-12 EDUCATION - 86</t>
  </si>
  <si>
    <t>NDE - ASSESSMENTS AND ACCOUNTABILITY</t>
  </si>
  <si>
    <t>101-2697</t>
  </si>
  <si>
    <t>K-12 EDUCATION - 97</t>
  </si>
  <si>
    <t>NDE - EDUCATOR LICENSURE</t>
  </si>
  <si>
    <t>101-2705</t>
  </si>
  <si>
    <t>K-12 EDUCATION - 104</t>
  </si>
  <si>
    <t>NDE - EDUCATOR EFFECTIVENESS</t>
  </si>
  <si>
    <t>101-2612</t>
  </si>
  <si>
    <t>K-12 EDUCATION - 110</t>
  </si>
  <si>
    <t>NDE - SCHOOL HEALTH EDUCATION - AIDS</t>
  </si>
  <si>
    <t>101-2611</t>
  </si>
  <si>
    <t>K-12 EDUCATION - 112</t>
  </si>
  <si>
    <t>NDE - GEAR UP</t>
  </si>
  <si>
    <t>101-2678</t>
  </si>
  <si>
    <t>K-12 EDUCATION - 117</t>
  </si>
  <si>
    <t>NDE - PARENTAL INVOLVEMENT AND FAMILY ENGAGEMENT</t>
  </si>
  <si>
    <t>101-2706</t>
  </si>
  <si>
    <t>K-12 EDUCATION - 125</t>
  </si>
  <si>
    <t>NDE - OFFICE OF EARLY LEARNING AND DEVELOPMENT</t>
  </si>
  <si>
    <t>101-2709</t>
  </si>
  <si>
    <t>K-12 EDUCATION - 134</t>
  </si>
  <si>
    <t>NDE - STUDENT AND SCHOOL SUPPORT</t>
  </si>
  <si>
    <t>101-2712</t>
  </si>
  <si>
    <t>K-12 EDUCATION - 147</t>
  </si>
  <si>
    <t>NDE - LITERACY PROGRAMS</t>
  </si>
  <si>
    <t>101-2713</t>
  </si>
  <si>
    <t>K-12 EDUCATION - 156</t>
  </si>
  <si>
    <t>NDE - CAREER AND TECHNICAL EDUCATION</t>
  </si>
  <si>
    <t>101-2676</t>
  </si>
  <si>
    <t>K-12 EDUCATION - 162</t>
  </si>
  <si>
    <t>NDE - CONTINUING EDUCATION</t>
  </si>
  <si>
    <t>101-2680</t>
  </si>
  <si>
    <t>NDE - INDIVIDUALS WITH DISABILITIES (IDEA)</t>
  </si>
  <si>
    <t>K-12 EDUCATION - 166</t>
  </si>
  <si>
    <t>101-2715</t>
  </si>
  <si>
    <t>K-12 EDUCATION - 174</t>
  </si>
  <si>
    <t>NDE - DATA SYSTEMS MANAGEMENT</t>
  </si>
  <si>
    <t>101-2716</t>
  </si>
  <si>
    <t>K-12 EDUCATION - 183</t>
  </si>
  <si>
    <t>COMMISSION ON POSTSECONDARY EDUCATION</t>
  </si>
  <si>
    <t>101-2666</t>
  </si>
  <si>
    <t>POSTSEC EDUCATION - 5</t>
  </si>
  <si>
    <t>STATE PUBLIC CHARTER SCHOOL AUTHORITY</t>
  </si>
  <si>
    <t>101-2711</t>
  </si>
  <si>
    <t>CHARTER SCHOOL - 12</t>
  </si>
  <si>
    <t>PUBLIC CHARTER SCHOOL LOAN PROGRAM</t>
  </si>
  <si>
    <t>101-2708</t>
  </si>
  <si>
    <t>CHARTER SCHOOL - 14</t>
  </si>
  <si>
    <t>NEVADA SYSTEM OF HIGHER EDUCATION (NSHE)</t>
  </si>
  <si>
    <t>NSHE - SYSTEM ADMINISTRATION</t>
  </si>
  <si>
    <t>101-2986</t>
  </si>
  <si>
    <t>NSHE - 13</t>
  </si>
  <si>
    <t>NSHE - SPECIAL PROJECTS</t>
  </si>
  <si>
    <t>101-2977</t>
  </si>
  <si>
    <t>NSHE - 16</t>
  </si>
  <si>
    <t>NSHE - UNIVERSITY PRESS</t>
  </si>
  <si>
    <t>101-2996</t>
  </si>
  <si>
    <t>NSHE - 18</t>
  </si>
  <si>
    <t>NSHE - SYSTEM COMPUTING CENTER</t>
  </si>
  <si>
    <t>101-2991</t>
  </si>
  <si>
    <t>NSHE - 21</t>
  </si>
  <si>
    <t>NSHE - STATE-FUNDED PERKINS LOAN</t>
  </si>
  <si>
    <t>101-2993</t>
  </si>
  <si>
    <t>NSHE - 22</t>
  </si>
  <si>
    <t>NSHE - EDUCATION FOR DEPENDENT CHILDREN</t>
  </si>
  <si>
    <t>101-2978</t>
  </si>
  <si>
    <t>NSHE - 23</t>
  </si>
  <si>
    <t>NSHE - UNIVERSITY OF NEVADA - RENO</t>
  </si>
  <si>
    <t>101-2980</t>
  </si>
  <si>
    <t>NSHE - 29</t>
  </si>
  <si>
    <t>NSHE - INTERCOLLEGIATE ATHLETICS - UNR</t>
  </si>
  <si>
    <t>101-2983</t>
  </si>
  <si>
    <t>NSHE - 32</t>
  </si>
  <si>
    <t>NSHE - STATEWIDE PROGRAMS - UNR</t>
  </si>
  <si>
    <t>101-2985</t>
  </si>
  <si>
    <t>NSHE - 35</t>
  </si>
  <si>
    <t>NSHE - SCHOOL OF MEDICAL SCIENCES</t>
  </si>
  <si>
    <t>101-2982</t>
  </si>
  <si>
    <t>NSHE - 40</t>
  </si>
  <si>
    <t>NSHE - HEALTH LABORATORY AND RESEARCH</t>
  </si>
  <si>
    <t>101-3221</t>
  </si>
  <si>
    <t>NSHE - 43</t>
  </si>
  <si>
    <t>NSHE - AGRICULTURAL EXPERIMENT STATION</t>
  </si>
  <si>
    <t>101-2989</t>
  </si>
  <si>
    <t>NSHE - 46</t>
  </si>
  <si>
    <t>NSHE - COOPERATIVE EXTENSION SERVICE</t>
  </si>
  <si>
    <t>101-2990</t>
  </si>
  <si>
    <t>NSHE - 49</t>
  </si>
  <si>
    <t>NSHE - BUSINESS CENTER NORTH</t>
  </si>
  <si>
    <t>101-3003</t>
  </si>
  <si>
    <t>NSHE - 52</t>
  </si>
  <si>
    <t>NSHE - UNIVERSITY OF NEVADA - LAS VEGAS</t>
  </si>
  <si>
    <t>101-2987</t>
  </si>
  <si>
    <t>NSHE - 58</t>
  </si>
  <si>
    <t>NSHE - UNLV SCHOOL OF MEDICINE</t>
  </si>
  <si>
    <t>101-3014</t>
  </si>
  <si>
    <t>NSHE - 59</t>
  </si>
  <si>
    <t>NSHE - INTERCOLLEGIATE ATHLETICS - UNLV</t>
  </si>
  <si>
    <t>101-2988</t>
  </si>
  <si>
    <t>NSHE - 62</t>
  </si>
  <si>
    <t>NSHE - STATEWIDE PROGRAMS - UNLV</t>
  </si>
  <si>
    <t>101-3001</t>
  </si>
  <si>
    <t>NSHE - 65</t>
  </si>
  <si>
    <t>NSHE - UNLV LAW SCHOOL</t>
  </si>
  <si>
    <t>101-2992</t>
  </si>
  <si>
    <t>NSHE - 68</t>
  </si>
  <si>
    <t>NSHE - DENTAL SCHOOL - UNLV</t>
  </si>
  <si>
    <t>101-3002</t>
  </si>
  <si>
    <t>NSHE - 72</t>
  </si>
  <si>
    <t>NSHE - BUSINESS CENTER SOUTH</t>
  </si>
  <si>
    <t>101-3004</t>
  </si>
  <si>
    <t>NSHE - 75</t>
  </si>
  <si>
    <t>NSHE - DESERT RESEARCH INSTITUTE</t>
  </si>
  <si>
    <t>101-3010</t>
  </si>
  <si>
    <t>NSHE - 78</t>
  </si>
  <si>
    <t>NSHE - GREAT BASIN COLLEGE</t>
  </si>
  <si>
    <t>101-2994</t>
  </si>
  <si>
    <t>NSHE - 84</t>
  </si>
  <si>
    <t>NSHE - WESTERN NEVADA COLLEGE</t>
  </si>
  <si>
    <t>101-3012</t>
  </si>
  <si>
    <t>NSHE - 90</t>
  </si>
  <si>
    <t>NSHE - COLLEGE OF SOUTHERN NEVADA</t>
  </si>
  <si>
    <t>101-3011</t>
  </si>
  <si>
    <t>NSHE - 95</t>
  </si>
  <si>
    <t>NSHE - TRUCKEE MEADOWS COMMUNITY COLLEGE</t>
  </si>
  <si>
    <t>101-3018</t>
  </si>
  <si>
    <t>NSHE - 100</t>
  </si>
  <si>
    <t>NSHE - NEVADA STATE COLLEGE AT HENDERSON</t>
  </si>
  <si>
    <t>101-3005</t>
  </si>
  <si>
    <t>NSHE - 105</t>
  </si>
  <si>
    <t>NSHE - PERFORMANCE FUNDING POOL</t>
  </si>
  <si>
    <t>101-3013</t>
  </si>
  <si>
    <t>NSHE - 109</t>
  </si>
  <si>
    <t>NSHE - GRADUATE MEDICAL EDUCATION</t>
  </si>
  <si>
    <t>101-3015</t>
  </si>
  <si>
    <t>NSHE - 110</t>
  </si>
  <si>
    <t>WESTERN INTERSTATE COMMISSION ON HIGHER EDUCATION</t>
  </si>
  <si>
    <t>W.I.C.H.E. ADMINISTRATION</t>
  </si>
  <si>
    <t>101-2995</t>
  </si>
  <si>
    <t>WICHE - 5</t>
  </si>
  <si>
    <t>W.I.C.H.E. LOAN &amp; STIPEND</t>
  </si>
  <si>
    <t>101-2681</t>
  </si>
  <si>
    <t>WICHE - 8</t>
  </si>
  <si>
    <t>DEPARTMENT OF AGRICULTURE</t>
  </si>
  <si>
    <t>AGRI - ADMINISTRATION</t>
  </si>
  <si>
    <t>101-4554</t>
  </si>
  <si>
    <t>AGRICULTURE - 15</t>
  </si>
  <si>
    <t>Ed Tech-SD-Hardware: 1,785,690</t>
  </si>
  <si>
    <t>School Library Media Spec.: 18,798</t>
  </si>
  <si>
    <t>CTE Programs: 3,124,856</t>
  </si>
  <si>
    <t>Adult Education: 18,260,398</t>
  </si>
  <si>
    <t>IP1 money to DSA</t>
  </si>
  <si>
    <t>#3 - Don't fund E275 (Smarter Balanced Assessment System)</t>
  </si>
  <si>
    <t>#3 - Teacher Quality - ATS 84367 funded at agency request level in 2016</t>
  </si>
  <si>
    <t>#4</t>
  </si>
  <si>
    <t>#2</t>
  </si>
  <si>
    <t>Mostly federal pass through dollars</t>
  </si>
  <si>
    <t>GBC</t>
  </si>
  <si>
    <t>WNC</t>
  </si>
  <si>
    <t>TMCC</t>
  </si>
  <si>
    <t>CSN</t>
  </si>
  <si>
    <t>NSC</t>
  </si>
  <si>
    <t>UNR</t>
  </si>
  <si>
    <t>UNLV</t>
  </si>
  <si>
    <t>AGRI - AGRICULTURE REGISTRATION/ENFORCEMENT</t>
  </si>
  <si>
    <t>101-4545</t>
  </si>
  <si>
    <t>AGRICULTURE - 26</t>
  </si>
  <si>
    <t>AGRI - PLANT HEALTH &amp; QUARANTINE SERVICES</t>
  </si>
  <si>
    <t>101-4540</t>
  </si>
  <si>
    <t>AGRICULTURE - 32</t>
  </si>
  <si>
    <t>AGRI - PEST, PLANT DISEASE NOXIOUS WEED CONTROL</t>
  </si>
  <si>
    <t>101-4552</t>
  </si>
  <si>
    <t>AGRICULTURE - 39</t>
  </si>
  <si>
    <t>AGRI - MORMON CRICKET &amp; GRASSHOPPERS</t>
  </si>
  <si>
    <t>101-4556</t>
  </si>
  <si>
    <t>AGRICULTURE - 42</t>
  </si>
  <si>
    <t>AGRI - VETERINARY MEDICAL SERVICES</t>
  </si>
  <si>
    <t>101-4550</t>
  </si>
  <si>
    <t>AGRICULTURE - 49</t>
  </si>
  <si>
    <t>AGRI - LIVESTOCK INSPECTION</t>
  </si>
  <si>
    <t>101-4546</t>
  </si>
  <si>
    <t>AGRICULTURE - 57</t>
  </si>
  <si>
    <t>AGRI - PREDATORY ANIMAL &amp; RODENT CONTROL</t>
  </si>
  <si>
    <t>101-4600</t>
  </si>
  <si>
    <t>AGRICULTURE - 62</t>
  </si>
  <si>
    <t>AGRI - CONSUMER EQUITABILITY</t>
  </si>
  <si>
    <t>101-4551</t>
  </si>
  <si>
    <t>AGRICULTURE - 69</t>
  </si>
  <si>
    <t>AGRI - NUTRITION EDUCATION PROGRAMS</t>
  </si>
  <si>
    <t>101-2691</t>
  </si>
  <si>
    <t>AGRICULTURE - 77</t>
  </si>
  <si>
    <t>AGRI - COMMODITY FOOD PROG</t>
  </si>
  <si>
    <t>101-1362</t>
  </si>
  <si>
    <t>AGRICULTURE - 85</t>
  </si>
  <si>
    <t>AGRI - DAIRY COMMISSION</t>
  </si>
  <si>
    <t>233-4470</t>
  </si>
  <si>
    <t>AGRICULTURE - 92</t>
  </si>
  <si>
    <t>MINERALS</t>
  </si>
  <si>
    <t>101-4219</t>
  </si>
  <si>
    <t>MINERALS - 10</t>
  </si>
  <si>
    <t>COMMISSION ON MINERAL RESOURCES</t>
  </si>
  <si>
    <t>GCB - GAMING CONTROL BOARD</t>
  </si>
  <si>
    <t>101-4061</t>
  </si>
  <si>
    <t>GAMING CONTROL BOARD</t>
  </si>
  <si>
    <t>GAMING CONTROL BOARD - 18</t>
  </si>
  <si>
    <t>GCB - GAMING COMMISSION</t>
  </si>
  <si>
    <t>101-4067</t>
  </si>
  <si>
    <t>GAMING CONTROL BOARD - 22</t>
  </si>
  <si>
    <t>GCB - GAMING CONTROL BOARD INVESTIGATION FUND</t>
  </si>
  <si>
    <t>244-4063</t>
  </si>
  <si>
    <t>GAMING CONTROL BOARD - 27</t>
  </si>
  <si>
    <t>PUBLIC UTILITIES COMMISSION</t>
  </si>
  <si>
    <t>PUC - PUBLIC UTILITIES COMMISSION</t>
  </si>
  <si>
    <t>224-3920</t>
  </si>
  <si>
    <t>PUC - 17</t>
  </si>
  <si>
    <t>DEPARTMENT OF BUSINESS AND INDUSTRY</t>
  </si>
  <si>
    <t>B&amp;I - OFFICE OF BUSINESS AND PLANNING</t>
  </si>
  <si>
    <t>101-4677</t>
  </si>
  <si>
    <t>B &amp; I - 9</t>
  </si>
  <si>
    <t>B&amp;I - BUSINESS AND INDUSTRY ADMINISTRATION</t>
  </si>
  <si>
    <t>101-4681</t>
  </si>
  <si>
    <t>B &amp; I - 18</t>
  </si>
  <si>
    <t>B&amp;I - INDUSTRIAL DEVELOPMENT BONDS</t>
  </si>
  <si>
    <t>101-4683</t>
  </si>
  <si>
    <t>B &amp; I - 21</t>
  </si>
  <si>
    <t>B&amp;I - NEW MARKETS PERFORMANCE GUARANTEE</t>
  </si>
  <si>
    <t>101-4678</t>
  </si>
  <si>
    <t>B &amp; I - 23</t>
  </si>
  <si>
    <t>B&amp;I - NEVADA HOME RETENTION PROGRAM</t>
  </si>
  <si>
    <t>101-4679</t>
  </si>
  <si>
    <t>B &amp; I - 24</t>
  </si>
  <si>
    <t>B&amp;I - INSURANCE REGULATION</t>
  </si>
  <si>
    <t>504-3813</t>
  </si>
  <si>
    <t>B &amp; I - 47</t>
  </si>
  <si>
    <t>B&amp;I - INSURANCE EXAMINERS</t>
  </si>
  <si>
    <t>504-3817</t>
  </si>
  <si>
    <t>B &amp; I - 53</t>
  </si>
  <si>
    <t>B&amp;I - CAPTIVE INSURERS</t>
  </si>
  <si>
    <t>504-3818</t>
  </si>
  <si>
    <t>B &amp; I - 58</t>
  </si>
  <si>
    <t>B&amp;I - INSURANCE RECOVERY</t>
  </si>
  <si>
    <t>504-3821</t>
  </si>
  <si>
    <t>B &amp; I - 60</t>
  </si>
  <si>
    <t>B&amp;I - INSURANCE EDUCATION &amp; RESEARCH</t>
  </si>
  <si>
    <t>504-3824</t>
  </si>
  <si>
    <t>B &amp; I - 66</t>
  </si>
  <si>
    <t>B&amp;I - NAT. ASSOC. OF INSURANCE COMMISSIONERS</t>
  </si>
  <si>
    <t>504-3828</t>
  </si>
  <si>
    <t>B &amp; I - 69</t>
  </si>
  <si>
    <t>B&amp;I - INSURANCE COST STABILIZATION</t>
  </si>
  <si>
    <t>504-3833</t>
  </si>
  <si>
    <t>B &amp; I - 75</t>
  </si>
  <si>
    <t>B&amp;I - SELF INSURED - WORKERS COMPENSATION</t>
  </si>
  <si>
    <t>210-4684</t>
  </si>
  <si>
    <t>B &amp; I - 80</t>
  </si>
  <si>
    <t>B&amp;I - INDUSTRIAL RELATIONS</t>
  </si>
  <si>
    <t>210-4680</t>
  </si>
  <si>
    <t>B &amp; I - 101</t>
  </si>
  <si>
    <t>B&amp;I - OCCUPATIONAL SAFETY &amp; HEALTH ENFORCEMENT</t>
  </si>
  <si>
    <t>210-4682</t>
  </si>
  <si>
    <t>B &amp; I - 109</t>
  </si>
  <si>
    <t>B&amp;I - SAFETY CONSULTATION AND TRAINING</t>
  </si>
  <si>
    <t>210-4685</t>
  </si>
  <si>
    <t>B &amp; I - 114</t>
  </si>
  <si>
    <t>B&amp;I - MINE SAFETY &amp; TRAINING</t>
  </si>
  <si>
    <t>210-4686</t>
  </si>
  <si>
    <t>B &amp; I - 118</t>
  </si>
  <si>
    <t>B&amp;I - HOUSING DIVISION</t>
  </si>
  <si>
    <t>B &amp; I - 132</t>
  </si>
  <si>
    <t>B&amp;I - LOW INCOME HOUSING TRUST FUND</t>
  </si>
  <si>
    <t>101-3838</t>
  </si>
  <si>
    <t>B &amp; I - 138</t>
  </si>
  <si>
    <t>B&amp;I - SPECIAL HOUSING ASSISTANCE</t>
  </si>
  <si>
    <t>101-3839</t>
  </si>
  <si>
    <t>B &amp; I - 140</t>
  </si>
  <si>
    <t>B&amp;I - WEATHERIZATION</t>
  </si>
  <si>
    <t>101-4865</t>
  </si>
  <si>
    <t>B &amp; I - 147</t>
  </si>
  <si>
    <t>B&amp;I - EMPLOYEE MANAGEMENT RELATIONS BOARD</t>
  </si>
  <si>
    <t>101-1374</t>
  </si>
  <si>
    <t>B &amp; I - 155</t>
  </si>
  <si>
    <t>B&amp;I - REAL ESTATE ADMINISTRATION</t>
  </si>
  <si>
    <t>101-3823</t>
  </si>
  <si>
    <t>B &amp; I - 171</t>
  </si>
  <si>
    <t>B&amp;I - REAL ESTATE EDUCATION AND RESEARCH</t>
  </si>
  <si>
    <t>216-3826</t>
  </si>
  <si>
    <t>B &amp; I - 177</t>
  </si>
  <si>
    <t>B&amp;I - REAL ESTATE RECOVERY ACCOUNT</t>
  </si>
  <si>
    <t>216-3827</t>
  </si>
  <si>
    <t>B &amp; I - 178</t>
  </si>
  <si>
    <t>B&amp;I - COMMON INTEREST COMMUNITIES</t>
  </si>
  <si>
    <t>101-3820</t>
  </si>
  <si>
    <t>B &amp; I - 185</t>
  </si>
  <si>
    <t>B&amp;I - ATHLETIC COMMISSION</t>
  </si>
  <si>
    <t>101-3952</t>
  </si>
  <si>
    <t>B &amp; I - 197</t>
  </si>
  <si>
    <t>B&amp;I - TAXICAB AUTHORITY</t>
  </si>
  <si>
    <t>245-4130</t>
  </si>
  <si>
    <t>B &amp; I - 214</t>
  </si>
  <si>
    <t>B&amp;I - TRANSPORTATION AUTHORITY</t>
  </si>
  <si>
    <t>101-3922</t>
  </si>
  <si>
    <t>B &amp; I - 229</t>
  </si>
  <si>
    <t>B&amp;I - TRANSPORTATION AUTHORITY ADMIN FINES</t>
  </si>
  <si>
    <t>101-3923</t>
  </si>
  <si>
    <t>B &amp; I - 233</t>
  </si>
  <si>
    <t>B&amp;I - LABOR COMMISSIONER</t>
  </si>
  <si>
    <t>101-3900</t>
  </si>
  <si>
    <t>B &amp; I - 246</t>
  </si>
  <si>
    <t>B&amp;I - NV ATTORNEY FOR INJURED WORKERS</t>
  </si>
  <si>
    <t>101-1013</t>
  </si>
  <si>
    <t>B &amp; I - 258</t>
  </si>
  <si>
    <t>B&amp;I - MANUFACTURED HOUSING</t>
  </si>
  <si>
    <t>271-3814</t>
  </si>
  <si>
    <t>B &amp; I - 272</t>
  </si>
  <si>
    <t>B&amp;I - MOBILE HOME LOT RENT SUBSIDY</t>
  </si>
  <si>
    <t>630-3842</t>
  </si>
  <si>
    <t>B &amp; I - 277</t>
  </si>
  <si>
    <t>B&amp;I - MOBILE HOME PARKS</t>
  </si>
  <si>
    <t>271-3843</t>
  </si>
  <si>
    <t>B &amp; I - 284</t>
  </si>
  <si>
    <t>B&amp;I - MFG HOUSING EDUCATION/RECOVERY</t>
  </si>
  <si>
    <t>271-3847</t>
  </si>
  <si>
    <t>B &amp; I - 289</t>
  </si>
  <si>
    <t>B&amp;I - FINANCIAL INSTITUTIONS</t>
  </si>
  <si>
    <t>101-3835</t>
  </si>
  <si>
    <t>B &amp; I - 302</t>
  </si>
  <si>
    <t>B&amp;I - FINANCIAL INSTITUTIONS INVESTIGATIONS</t>
  </si>
  <si>
    <t>101-3805</t>
  </si>
  <si>
    <t>B &amp; I - 304</t>
  </si>
  <si>
    <t>B&amp;I - FINANCIAL INSTITUTIONS AUDIT</t>
  </si>
  <si>
    <t>101-3882</t>
  </si>
  <si>
    <t>B &amp; I - 308</t>
  </si>
  <si>
    <t>B&amp;I - MORTGAGE LENDING</t>
  </si>
  <si>
    <t>101-3910</t>
  </si>
  <si>
    <t>B &amp; I - 322</t>
  </si>
  <si>
    <t>GOED - GOVERNOR'S OFFICE OF ECONOMIC DEV</t>
  </si>
  <si>
    <t>101-1526</t>
  </si>
  <si>
    <t>GOVERNOR'S OFFICE OF ECONOMIC DEVELOPMENT</t>
  </si>
  <si>
    <t>ECONOMIC DEVELOPMENT - 14</t>
  </si>
  <si>
    <t>GOED - NEVADA FILM OFFICE</t>
  </si>
  <si>
    <t>101-1527</t>
  </si>
  <si>
    <t>ECONOMIC DEVELOPMENT - 18</t>
  </si>
  <si>
    <t>GOED - RURAL COMMUNITY DEVELOPMENT</t>
  </si>
  <si>
    <t>101-1528</t>
  </si>
  <si>
    <t>ECONOMIC DEVELOPMENT - 23</t>
  </si>
  <si>
    <t>GOED - PROCUREMENT OUTREACH PROGRAM</t>
  </si>
  <si>
    <t>101-4867</t>
  </si>
  <si>
    <t>ECONOMIC DEVELOPMENT - 26</t>
  </si>
  <si>
    <t>GOED - NEVADA CATALYST FUND</t>
  </si>
  <si>
    <t>101-1529</t>
  </si>
  <si>
    <t>ECONOMIC DEVELOPMENT - 29</t>
  </si>
  <si>
    <t>GOED - NEVADA SSBCI PROGRAM</t>
  </si>
  <si>
    <t>101-1521</t>
  </si>
  <si>
    <t>ECONOMIC DEVELOPMENT - 32</t>
  </si>
  <si>
    <t>GOED - NEVADA KNOWLEDGE FUND</t>
  </si>
  <si>
    <t>101-1533</t>
  </si>
  <si>
    <t>ECONOMIC DEVELOPMENT - 35</t>
  </si>
  <si>
    <t>DEPARTMENT OF TOURISM AND CULTURAL AFFAIRS</t>
  </si>
  <si>
    <t>TOURISM - STEWART INDIAN SCHOOL LIVING LEGACY</t>
  </si>
  <si>
    <t>101-2601</t>
  </si>
  <si>
    <t>TOURISM - 13</t>
  </si>
  <si>
    <t>TOURISM - TOURISM DEVELOPMENT FUND</t>
  </si>
  <si>
    <t>225-1522</t>
  </si>
  <si>
    <t>TOURISM - 23</t>
  </si>
  <si>
    <t>TOURISM - TOURISM DEVELOPMENT</t>
  </si>
  <si>
    <t>225-1523</t>
  </si>
  <si>
    <t>TOURISM - 24</t>
  </si>
  <si>
    <t>TOURISM - NEVADA MAGAZINE</t>
  </si>
  <si>
    <t>530-1530</t>
  </si>
  <si>
    <t>TOURISM - 29</t>
  </si>
  <si>
    <t>TOURISM - NEVADA HUMANITIES</t>
  </si>
  <si>
    <t>101-2894</t>
  </si>
  <si>
    <t>TOURISM - 30</t>
  </si>
  <si>
    <t>TOURISM - INDIAN COMMISSION</t>
  </si>
  <si>
    <t>101-2600</t>
  </si>
  <si>
    <t>TOURISM - 35</t>
  </si>
  <si>
    <t>TOURISM - MUSEUMS &amp; HISTORY</t>
  </si>
  <si>
    <t>101-2941</t>
  </si>
  <si>
    <t>TOURISM - 48</t>
  </si>
  <si>
    <t>TOURISM - MUSEUMS &amp; HIST - LOST CITY MUSEUM</t>
  </si>
  <si>
    <t>101-1350</t>
  </si>
  <si>
    <t>TOURISM - 53</t>
  </si>
  <si>
    <t>TOURISM - MUSEUMS &amp; HIST-NEVADA HISTORICAL SOCIETY</t>
  </si>
  <si>
    <t>101-2870</t>
  </si>
  <si>
    <t>TOURISM - 59</t>
  </si>
  <si>
    <t>TOURISM - MUSEUMS &amp; HIST - NEVADA STATE MUSEUM, CC</t>
  </si>
  <si>
    <t>101-2940</t>
  </si>
  <si>
    <t>TOURISM - 66</t>
  </si>
  <si>
    <t>TOURISM - MUSEUMS &amp; HIST - NEVADA STATE MUSEUM, LV</t>
  </si>
  <si>
    <t>101-2943</t>
  </si>
  <si>
    <t>TOURISM - 71</t>
  </si>
  <si>
    <t>TOURISM - MUSEUMS &amp; HIST - STATE RAILROAD MUSEUMS</t>
  </si>
  <si>
    <t>101-4216</t>
  </si>
  <si>
    <t>TOURISM - 76</t>
  </si>
  <si>
    <t>TOURISM - NEVADA ARTS COUNCIL</t>
  </si>
  <si>
    <t>101-2979</t>
  </si>
  <si>
    <t>TOURISM - 89</t>
  </si>
  <si>
    <t>DEPARTMENT OF HEALTH AND HUMAN SERVICES</t>
  </si>
  <si>
    <t>HHS-DO - ADMINISTRATION</t>
  </si>
  <si>
    <t>101-3150</t>
  </si>
  <si>
    <t>DHHS-DIRECTOR - 19</t>
  </si>
  <si>
    <t>HHS-DO - UPL HOLDING ACCOUNT</t>
  </si>
  <si>
    <t>101-3260</t>
  </si>
  <si>
    <t>DHHS-DIRECTOR - 20</t>
  </si>
  <si>
    <t>HHS-DO - DEVELOPMENTAL DISABILITIES</t>
  </si>
  <si>
    <t>101-3154</t>
  </si>
  <si>
    <t>DHHS-DIRECTOR - 24</t>
  </si>
  <si>
    <t>HHS-DO - GRANTS MANAGEMENT UNIT</t>
  </si>
  <si>
    <t>101-3195</t>
  </si>
  <si>
    <t>DHHS-DIRECTOR - 31</t>
  </si>
  <si>
    <t>HHS-DO - PROBLEM GAMBLING</t>
  </si>
  <si>
    <t>101-3200</t>
  </si>
  <si>
    <t>DHHS-DIRECTOR - 33</t>
  </si>
  <si>
    <t>HHS-DO - CHILDREN'S TRUST ACCOUNT</t>
  </si>
  <si>
    <t>101-3201</t>
  </si>
  <si>
    <t>DHHS-DIRECTOR - 34</t>
  </si>
  <si>
    <t>HHS-DO - CONSUMER HEALTH ASSISTANCE</t>
  </si>
  <si>
    <t>101-3204</t>
  </si>
  <si>
    <t>DHHS-DIRECTOR - 40</t>
  </si>
  <si>
    <t>HHS-DO - INDIGENT HOSPITAL CARE</t>
  </si>
  <si>
    <t>628-3244</t>
  </si>
  <si>
    <t>DHHS-DIRECTOR - 42</t>
  </si>
  <si>
    <t>HHS-DO - HEALTHY NEVADA FUND</t>
  </si>
  <si>
    <t>262-3261</t>
  </si>
  <si>
    <t>DHHS-DIRECTOR - 44</t>
  </si>
  <si>
    <t>HHS-DO - PUBLIC DEFENDER</t>
  </si>
  <si>
    <t>101-1499</t>
  </si>
  <si>
    <t>DHHS-DIRECTOR - 48</t>
  </si>
  <si>
    <t>HHS-DO - IDEA PART C</t>
  </si>
  <si>
    <t>101-3276</t>
  </si>
  <si>
    <t>DHHS-DIRECTOR - 52</t>
  </si>
  <si>
    <t>HHS-ADSD - SENIOR RX AND DISABILITY RX</t>
  </si>
  <si>
    <t>262-3156</t>
  </si>
  <si>
    <t>DHHS-ADSD - 20</t>
  </si>
  <si>
    <t>HHS-ADSD - TOBACCO SETTLEMENT PROGRAM</t>
  </si>
  <si>
    <t>262-3140</t>
  </si>
  <si>
    <t>DHHS-ADSD - 22</t>
  </si>
  <si>
    <t>HHS-ADSD - FEDERAL PROGRAMS AND ADMINISTRATION</t>
  </si>
  <si>
    <t>101-3151</t>
  </si>
  <si>
    <t>DHHS-ADSD - 38</t>
  </si>
  <si>
    <t>HHS-ADSD - HOME AND COMMUNITY BASED SERVICES</t>
  </si>
  <si>
    <t>101-3266</t>
  </si>
  <si>
    <t>DHHS-ADSD - 53</t>
  </si>
  <si>
    <t>HHS-ADSD - EARLY INTERVENTION SERVICES</t>
  </si>
  <si>
    <t>101-3208</t>
  </si>
  <si>
    <t>DHHS-ADSD - 65</t>
  </si>
  <si>
    <t>HHS-ADSD - FAMILY PRESERVATION PROGRAM</t>
  </si>
  <si>
    <t>101-3166</t>
  </si>
  <si>
    <t>DHHS-ADSD - 67</t>
  </si>
  <si>
    <t>HHS-ADSD - SIERRA REGIONAL CENTER</t>
  </si>
  <si>
    <t>101-3280</t>
  </si>
  <si>
    <t>DHHS-ADSD - 76</t>
  </si>
  <si>
    <t>HHS-ADSD - DESERT REGIONAL CENTER</t>
  </si>
  <si>
    <t>101-3279</t>
  </si>
  <si>
    <t>DHHS-ADSD - 85</t>
  </si>
  <si>
    <t>HHS-ADSD - RURAL REGIONAL CENTER</t>
  </si>
  <si>
    <t>101-3167</t>
  </si>
  <si>
    <t>DHHS-ADSD - 92</t>
  </si>
  <si>
    <t>HHS-HCF&amp;P - INTERGOVERNMENTAL TRANSFER PROGRAM</t>
  </si>
  <si>
    <t>101-3157</t>
  </si>
  <si>
    <t>DHHS-DHCFP - 12</t>
  </si>
  <si>
    <t>HHS-HCF&amp;P - ADMINISTRATION</t>
  </si>
  <si>
    <t>101-3158</t>
  </si>
  <si>
    <t>DHHS-DHCFP - 33</t>
  </si>
  <si>
    <t>HHS-HCF&amp;P - INCREASED QUALITY OF NURSING CARE</t>
  </si>
  <si>
    <t>101-3160</t>
  </si>
  <si>
    <t>DHHS-DHCFP - 35</t>
  </si>
  <si>
    <t>HHS-HCF&amp;P - NEVADA CHECK-UP PROGRAM</t>
  </si>
  <si>
    <t>101-3178</t>
  </si>
  <si>
    <t>DHHS-DHCFP - 40</t>
  </si>
  <si>
    <t>HHS-HCF&amp;P - NEVADA MEDICAID, TITLE XIX</t>
  </si>
  <si>
    <t>101-3243</t>
  </si>
  <si>
    <t>DHHS-DHCFP - 54</t>
  </si>
  <si>
    <t>HHS-DPBH - RADIATION CONTROL</t>
  </si>
  <si>
    <t>101-3101</t>
  </si>
  <si>
    <t>DHHS-PUBLIC HEALTH - 26</t>
  </si>
  <si>
    <t>HHS-DPBH - CHILD CARE SERVICES</t>
  </si>
  <si>
    <t>101-3149</t>
  </si>
  <si>
    <t>DHHS-PUBLIC HEALTH - 32</t>
  </si>
  <si>
    <t>HHS-DPBH - LOW-LEVEL RADIOACTIVE WASTE FUND</t>
  </si>
  <si>
    <t>251-3152</t>
  </si>
  <si>
    <t>DHHS-PUBLIC HEALTH - 34</t>
  </si>
  <si>
    <t>HHS-DPBH - CANCER CONTROL REGISTRY</t>
  </si>
  <si>
    <t>101-3153</t>
  </si>
  <si>
    <t>DHHS-PUBLIC HEALTH - 39</t>
  </si>
  <si>
    <t>HHS-DPBH - HEALTH STATISTICS AND PLANNING</t>
  </si>
  <si>
    <t>101-3190</t>
  </si>
  <si>
    <t>DHHS-PUBLIC HEALTH - 44</t>
  </si>
  <si>
    <t>HHS-DPBH - CONSUMER HEALTH PROTECTION</t>
  </si>
  <si>
    <t>101-3194</t>
  </si>
  <si>
    <t>DHHS-PUBLIC HEALTH - 50</t>
  </si>
  <si>
    <t>HHS-DPBH - IMMUNIZATION PROGRAM</t>
  </si>
  <si>
    <t>101-3213</t>
  </si>
  <si>
    <t>DHHS-PUBLIC HEALTH - 57</t>
  </si>
  <si>
    <t>HHS-DPBH - WIC FOOD SUPPLEMENT</t>
  </si>
  <si>
    <t>101-3214</t>
  </si>
  <si>
    <t>DHHS-PUBLIC HEALTH - 62</t>
  </si>
  <si>
    <t>HHS-DPBH - COMMUNICABLE DISEASES</t>
  </si>
  <si>
    <t>101-3215</t>
  </si>
  <si>
    <t>DHHS-PUBLIC HEALTH - 68</t>
  </si>
  <si>
    <t>HHS-DPBH - HEALTH FACILITIES HOSPITAL LICENSING</t>
  </si>
  <si>
    <t>101-3216</t>
  </si>
  <si>
    <t>HHS-DPBH - HEALTH FACILITIES-ADMIN PENALTY</t>
  </si>
  <si>
    <t>101-3217</t>
  </si>
  <si>
    <t>DHHS-PUBLIC HEALTH - 79</t>
  </si>
  <si>
    <t>DHHS-PUBLIC HEALTH - 81</t>
  </si>
  <si>
    <t>HHS-DPBH - PUBLIC HEALTH PREPAREDNESS PROGRAM</t>
  </si>
  <si>
    <t>101-3218</t>
  </si>
  <si>
    <t>DHHS-PUBLIC HEALTH - 90</t>
  </si>
  <si>
    <t>HHS-DPBH - BIOSTATISTICS AND EPIDEMIOLOGY</t>
  </si>
  <si>
    <t>101-3219</t>
  </si>
  <si>
    <t>HHS-DPBH - CHRONIC DISEASE</t>
  </si>
  <si>
    <t>DHHS-PUBLIC HEALTH - 101</t>
  </si>
  <si>
    <t>101-3220</t>
  </si>
  <si>
    <t>DHHS-PUBLIC HEALTH - 108</t>
  </si>
  <si>
    <t>HHS-DPBH - MATERNAL CHILD HEALTH SERVICES</t>
  </si>
  <si>
    <t>101-3222</t>
  </si>
  <si>
    <t>DHHS-PUBLIC HEALTH - 117</t>
  </si>
  <si>
    <t>HHS-DPBH - OFFICE OF HEALTH ADMINISTRATION</t>
  </si>
  <si>
    <t>101-3223</t>
  </si>
  <si>
    <t>DHHS-PUBLIC HEALTH - 129</t>
  </si>
  <si>
    <t>HHS-DPBH - COMMUNITY HEALTH SERVICES</t>
  </si>
  <si>
    <t>101-3224</t>
  </si>
  <si>
    <t>DHHS-PUBLIC HEALTH - 136</t>
  </si>
  <si>
    <t>HHS-DPBH - EMERGENCY MEDICAL SERVICES</t>
  </si>
  <si>
    <t>101-3235</t>
  </si>
  <si>
    <t>DHHS-PUBLIC HEALTH - 143</t>
  </si>
  <si>
    <t>HHS-DPBH - MARIJUANA HEALTH REGISTRY</t>
  </si>
  <si>
    <t>101-4547</t>
  </si>
  <si>
    <t>DHHS-PUBLIC HEALTH - 149</t>
  </si>
  <si>
    <t>Worth additional scrutiny</t>
  </si>
  <si>
    <t>HHS-DPBH - BEHAVIORAL HEALTH ADMINISTRATION</t>
  </si>
  <si>
    <t>101-3168</t>
  </si>
  <si>
    <t>DHHS-PUBLIC HEALTH - 161</t>
  </si>
  <si>
    <t>HHS-DPBH - BEHAVIORAL HEALTH INFORMATION SYSTEMS</t>
  </si>
  <si>
    <t>101-3164</t>
  </si>
  <si>
    <t>DHHS-PUBLIC HEALTH - 168</t>
  </si>
  <si>
    <t>HHS-DPBH - ALCOHOL TAX PROGRAM</t>
  </si>
  <si>
    <t>DHHS-PUBLIC HEALTH - 170</t>
  </si>
  <si>
    <t>101-3255</t>
  </si>
  <si>
    <t>HHS-DPBH - BEHAVIORAL HEALTH PREV &amp; TREATMENT</t>
  </si>
  <si>
    <t>101-3170</t>
  </si>
  <si>
    <t>DHHS-PUBLIC HEALTH - 180</t>
  </si>
  <si>
    <t>HHS-DPBH - RURAL CLINICS</t>
  </si>
  <si>
    <t>101-3648</t>
  </si>
  <si>
    <t>DHHS-PUBLIC HEALTH - 191</t>
  </si>
  <si>
    <t>HHS-DPBH - NO NV ADULT MENTAL HEALTH SVCS</t>
  </si>
  <si>
    <t>101-3162</t>
  </si>
  <si>
    <t>DHHS-PUBLIC HEALTH - 204</t>
  </si>
  <si>
    <t>HHS-DPBH - SO NV ADULT MENTAL HEALTH SERVICES</t>
  </si>
  <si>
    <t>101-3161</t>
  </si>
  <si>
    <t>DHHS-PUBLIC HEALTH - 220</t>
  </si>
  <si>
    <t>HHS-DPBH - FACILITY FOR THE MENTAL OFFENDER</t>
  </si>
  <si>
    <t>101-3645</t>
  </si>
  <si>
    <t>DHHS-PUBLIC HEALTH - 227</t>
  </si>
  <si>
    <t>HHS-WELFARE - ADMINISTRATION</t>
  </si>
  <si>
    <t>101-3228</t>
  </si>
  <si>
    <t>DHHS-DWSS - 23</t>
  </si>
  <si>
    <t>HHS-WELFARE - TANF</t>
  </si>
  <si>
    <t>101-3230</t>
  </si>
  <si>
    <t>DHHS-DWSS - 26</t>
  </si>
  <si>
    <t>HHS-WELFARE - ASSISTANCE TO AGED AND BLIND</t>
  </si>
  <si>
    <t>101-3232</t>
  </si>
  <si>
    <t>DHHS-DWSS - 28</t>
  </si>
  <si>
    <t>HHS-WELFARE - FIELD SERVICES</t>
  </si>
  <si>
    <t>101-3233</t>
  </si>
  <si>
    <t>DHHS-DWSS - 36</t>
  </si>
  <si>
    <t>HHS-WELFARE - CHILD SUPPORT ENFORCEMENT PROGRAM</t>
  </si>
  <si>
    <t>101-3238</t>
  </si>
  <si>
    <t>DHHS-DWSS - 43</t>
  </si>
  <si>
    <t>HHS-WELFARE - CHILD SUPPORT FEDERAL REIMBURSEMENT</t>
  </si>
  <si>
    <t>101-3239</t>
  </si>
  <si>
    <t>DHHS-DWSS - 45</t>
  </si>
  <si>
    <t>HHS-WELFARE - CHILD ASSISTANCE AND DEVELOPMENT</t>
  </si>
  <si>
    <t>101-3267</t>
  </si>
  <si>
    <t>DHHS-DWSS - 50</t>
  </si>
  <si>
    <t>HHS-WELFARE - ENERGY ASSISTANCE PROGRAM</t>
  </si>
  <si>
    <t>101-4862</t>
  </si>
  <si>
    <t>DHHS-DWSS - 55</t>
  </si>
  <si>
    <t>HHS-DCFS - CHILDREN, YOUTH &amp; FAMILY ADMINISTRATION</t>
  </si>
  <si>
    <t>101-3145</t>
  </si>
  <si>
    <t>DHHS-DCFS - 33</t>
  </si>
  <si>
    <t>HHS-DCFS - VICTIMS OF DOMESTIC VIOLENCE</t>
  </si>
  <si>
    <t>101-3181</t>
  </si>
  <si>
    <t>DHHS-DCFS - 35</t>
  </si>
  <si>
    <t>HHS-DCFS - UNITY/SACWIS</t>
  </si>
  <si>
    <t>101-3143</t>
  </si>
  <si>
    <t>HHS-DCFS - WASHOE COUNTY CHILD WELFARE</t>
  </si>
  <si>
    <t>DHHS-DCFS - 44</t>
  </si>
  <si>
    <t>101-3141</t>
  </si>
  <si>
    <t>DHHS-DCFS - 47</t>
  </si>
  <si>
    <t>HHS-DCFS - CLARK COUNTY CHILD WELFARE</t>
  </si>
  <si>
    <t>101-3142</t>
  </si>
  <si>
    <t>DHHS-DCFS - 50</t>
  </si>
  <si>
    <t>HHS-DCFS - RURAL CHILD WELFARE</t>
  </si>
  <si>
    <t>101-3229</t>
  </si>
  <si>
    <t>DHHS-DCFS - 58</t>
  </si>
  <si>
    <t>HHS-DCFS - CHILD WELFARE TRUST</t>
  </si>
  <si>
    <t>645-3242</t>
  </si>
  <si>
    <t>DHHS-DCFS - 60</t>
  </si>
  <si>
    <t>HHS-DCFS - TRANSITION FROM FOSTER CARE</t>
  </si>
  <si>
    <t>101-3250</t>
  </si>
  <si>
    <t>DHHS-DCFS - 62</t>
  </si>
  <si>
    <t>HHS-DCFS - REVIEW OF DEATH OF CHILDREN</t>
  </si>
  <si>
    <t>101-3251</t>
  </si>
  <si>
    <t>DHHS-DCFS - 63</t>
  </si>
  <si>
    <t>HHS-DCFS - COMMUNITY JUVENILE JUSTICE PROGRAMS</t>
  </si>
  <si>
    <t>101-1383</t>
  </si>
  <si>
    <t>DHHS-DCFS - 68</t>
  </si>
  <si>
    <t>HHS-DCFS - YOUTH ALTERNATIVE PLACEMENT</t>
  </si>
  <si>
    <t>101-3147</t>
  </si>
  <si>
    <t>DHHS-DCFS - 70</t>
  </si>
  <si>
    <t>HHS-DCFS - JUVENILE CORRECTIONAL FACILITY</t>
  </si>
  <si>
    <t>101-3148</t>
  </si>
  <si>
    <t>DHHS-DCFS - 74</t>
  </si>
  <si>
    <t>HHS-DCFS - CALIENTE YOUTH CENTER</t>
  </si>
  <si>
    <t>101-3179</t>
  </si>
  <si>
    <t>DHHS-DCFS - 79</t>
  </si>
  <si>
    <t>HHS-DCFS - NEVADA YOUTH TRAINING CENTER</t>
  </si>
  <si>
    <t>101-3259</t>
  </si>
  <si>
    <t>DHHS-DCFS - 86</t>
  </si>
  <si>
    <t>HHS-DCFS - YOUTH PAROLE SERVICES</t>
  </si>
  <si>
    <t>101-3263</t>
  </si>
  <si>
    <t>DHHS-DCFS - 93</t>
  </si>
  <si>
    <t>HHS-DCFS - NORTHERN NV CHILD &amp; ADOLESCENT SERVICES</t>
  </si>
  <si>
    <t>101-3281</t>
  </si>
  <si>
    <t>DHHS-DCFS - 100</t>
  </si>
  <si>
    <t>HHS-DCFS - SOUTHERN NV CHILD &amp; ADOLESCENT SERVICES</t>
  </si>
  <si>
    <t>101-3646</t>
  </si>
  <si>
    <t>DHHS-DCFS - 110</t>
  </si>
  <si>
    <t>DEPARTMENT OF EMPLOYMENT, TRAINING &amp; REHAB</t>
  </si>
  <si>
    <t>DETR - REHABILITATION ADMINISTRATION</t>
  </si>
  <si>
    <t>101-3268</t>
  </si>
  <si>
    <t>DETR - 12</t>
  </si>
  <si>
    <t>DETR - DISABILITY ADJUDICATION</t>
  </si>
  <si>
    <t>101-3269</t>
  </si>
  <si>
    <t>DETR - 16</t>
  </si>
  <si>
    <t>DETR - VOCATIONAL REHABILITATION</t>
  </si>
  <si>
    <t>101-3265</t>
  </si>
  <si>
    <t>DETR - 24</t>
  </si>
  <si>
    <t>DETR - SERVICES TO THE BLIND &amp; VISUALLY IMPAIRED</t>
  </si>
  <si>
    <t>101-3254</t>
  </si>
  <si>
    <t>DETR - 30</t>
  </si>
  <si>
    <t>DETR - BLIND BUSINESS ENTERPRISE PROGRAM</t>
  </si>
  <si>
    <t>101-3253</t>
  </si>
  <si>
    <t>DETR - 36</t>
  </si>
  <si>
    <t>DETR - EMPLOYMENT SECURITY</t>
  </si>
  <si>
    <t>205-4770</t>
  </si>
  <si>
    <t>DETR - 54</t>
  </si>
  <si>
    <t>DETR - EMPLOYMENT SECURITY - SPECIAL FUND</t>
  </si>
  <si>
    <t>235-4771</t>
  </si>
  <si>
    <t>DETR - 59</t>
  </si>
  <si>
    <t>DETR - EQUAL RIGHTS COMMISSION</t>
  </si>
  <si>
    <t>101-2580</t>
  </si>
  <si>
    <t>DETR - 67</t>
  </si>
  <si>
    <t>DETR - ADMINISTRATION</t>
  </si>
  <si>
    <t>101-3272</t>
  </si>
  <si>
    <t>DETR - 80</t>
  </si>
  <si>
    <t>DETR - INFORMATION DEVELOPMENT AND PROCESSING</t>
  </si>
  <si>
    <t>DETR - 86</t>
  </si>
  <si>
    <t>101-3274</t>
  </si>
  <si>
    <t>DETR - RESEARCH &amp; ANALYSIS</t>
  </si>
  <si>
    <t>101-3273</t>
  </si>
  <si>
    <t>DETR - 92</t>
  </si>
  <si>
    <t>DETR-NEVADA P20 WORKFORCE REPORTING</t>
  </si>
  <si>
    <t>101-3270</t>
  </si>
  <si>
    <t>DETR - 94</t>
  </si>
  <si>
    <t>PEACE OFFICERS STANDARDS &amp; TRAINING COMMISSION</t>
  </si>
  <si>
    <t>101-3774</t>
  </si>
  <si>
    <t>COMMISSION ON PEACE OFFICERS STANDARDS &amp; TRAINING</t>
  </si>
  <si>
    <t>POST - 12</t>
  </si>
  <si>
    <t>DEPARTMENT OF CORRECTIONS</t>
  </si>
  <si>
    <t>NDOC - DIRECTOR'S OFFICE</t>
  </si>
  <si>
    <t>101-3710</t>
  </si>
  <si>
    <t>CORRECTIONS - 23</t>
  </si>
  <si>
    <t>NDOC - PRISON MEDICAL CARE</t>
  </si>
  <si>
    <t>101-3706</t>
  </si>
  <si>
    <t>CORRECTIONS - 30</t>
  </si>
  <si>
    <t>NDOC - CORRECTIONAL PROGRAMS</t>
  </si>
  <si>
    <t>101-3711</t>
  </si>
  <si>
    <t>CORRECTIONS - 37</t>
  </si>
  <si>
    <t>NDOC - ELY STATE PRISON</t>
  </si>
  <si>
    <t>101-3751</t>
  </si>
  <si>
    <t>CORRECTIONS - 43</t>
  </si>
  <si>
    <t>NDOC - HIGH DESERT STATE PRISON</t>
  </si>
  <si>
    <t>101-3762</t>
  </si>
  <si>
    <t>CORRECTIONS - 51</t>
  </si>
  <si>
    <t>NDOC - NORTHERN NEVADA CORRECTIONAL CENTER</t>
  </si>
  <si>
    <t>101-3717</t>
  </si>
  <si>
    <t>CORRECTIONS - 57</t>
  </si>
  <si>
    <t>NDOC - NEVADA STATE PRISON</t>
  </si>
  <si>
    <t>101-3718</t>
  </si>
  <si>
    <t>CORRECTIONS - 59</t>
  </si>
  <si>
    <t>NDOC - SOUTHERN DESERT CORRECTIONAL CENTER</t>
  </si>
  <si>
    <t>101-3738</t>
  </si>
  <si>
    <t>CORRECTIONS - 65</t>
  </si>
  <si>
    <t>NDOC - LOVELOCK CORRECTIONAL CENTER</t>
  </si>
  <si>
    <t>101-3759</t>
  </si>
  <si>
    <t>CORRECTIONS - 73</t>
  </si>
  <si>
    <t>NDOC - SOUTHERN NEVADA CORRECTIONAL CENTER</t>
  </si>
  <si>
    <t>101-3715</t>
  </si>
  <si>
    <t>CORRECTIONS - 76</t>
  </si>
  <si>
    <t>NDOC - WARM SPRINGS CORRECTIONAL CENTER</t>
  </si>
  <si>
    <t>101-3716</t>
  </si>
  <si>
    <t>CORRECTIONS - 82</t>
  </si>
  <si>
    <t>NDOC - FLORENCE MCCLURE WOMENS CORRECTIONAL CENTER</t>
  </si>
  <si>
    <t>101-3761</t>
  </si>
  <si>
    <t>CORRECTIONS - 89</t>
  </si>
  <si>
    <t>NDOC - CASA GRANDE TRANSITIONAL HOUSING</t>
  </si>
  <si>
    <t>101-3760</t>
  </si>
  <si>
    <t>CORRECTIONS - 95</t>
  </si>
  <si>
    <t>NDOC - NORTHERN NEVADA RESTITUTION CENTER</t>
  </si>
  <si>
    <t>101-3724</t>
  </si>
  <si>
    <t>CORRECTIONS - 100</t>
  </si>
  <si>
    <t>NDOC - STEWART CONSERVATION CAMP</t>
  </si>
  <si>
    <t>101-3722</t>
  </si>
  <si>
    <t>CORRECTIONS - 104</t>
  </si>
  <si>
    <t>NDOC - PIOCHE CONSERVATION CAMP</t>
  </si>
  <si>
    <t>101-3723</t>
  </si>
  <si>
    <t>CORRECTIONS - 110</t>
  </si>
  <si>
    <t>NDOC - THREE LAKES VALLEY CONSERVATION CAMP</t>
  </si>
  <si>
    <t>101-3725</t>
  </si>
  <si>
    <t>CORRECTIONS - 115</t>
  </si>
  <si>
    <t>Recommendation: Repeal Medicaid expansion</t>
  </si>
  <si>
    <t>Transfers from other B/As</t>
  </si>
  <si>
    <t>Autism funding has grown from $2.36 mil in 2012/13 to $26.6 mil in 2016/17</t>
  </si>
  <si>
    <t>Looks like increased administrative costs from Medicaid expansion</t>
  </si>
  <si>
    <t>Performance Audit candidate</t>
  </si>
  <si>
    <t>Number of employees has grown by 50% in 4 years</t>
  </si>
  <si>
    <t>#3 Agency request on "Subsidized Adoptions"</t>
  </si>
  <si>
    <t>#3 Agency request</t>
  </si>
  <si>
    <t>Good goals, worth performance audit</t>
  </si>
  <si>
    <t>NDOC - WELLS CONSERVATION CAMP</t>
  </si>
  <si>
    <t>101-3739</t>
  </si>
  <si>
    <t>NDOC - HUMBOLDT CONSERVATION CAMP</t>
  </si>
  <si>
    <t>CORRECTIONS - 121</t>
  </si>
  <si>
    <t>CORRECTIONS - 127</t>
  </si>
  <si>
    <t>101-3741</t>
  </si>
  <si>
    <t>NDOC - ELY CONSERVATION CAMP</t>
  </si>
  <si>
    <t>101-3747</t>
  </si>
  <si>
    <t>CORRECTIONS - 133</t>
  </si>
  <si>
    <t>NDOC - JEAN CONSERVATION CAMP</t>
  </si>
  <si>
    <t>CORRECTIONS - 137</t>
  </si>
  <si>
    <t>101-3748</t>
  </si>
  <si>
    <t>NDOC - SILVER SPRINGS CONSERVATION CAMP</t>
  </si>
  <si>
    <t>101-3749</t>
  </si>
  <si>
    <t>CORRECTIONS - 139</t>
  </si>
  <si>
    <t>NDOC - CARLIN CONSERVATION CAMP</t>
  </si>
  <si>
    <t>101-3752</t>
  </si>
  <si>
    <t>CORRECTIONS - 145</t>
  </si>
  <si>
    <t>NDOC - TONOPAH CONSERVATION CAMP</t>
  </si>
  <si>
    <t>101-3754</t>
  </si>
  <si>
    <t>CORRECTIONS - 151</t>
  </si>
  <si>
    <t>NDOC - OFFENDERS' STORE FUND</t>
  </si>
  <si>
    <t>240-3708</t>
  </si>
  <si>
    <t>CORRECTIONS - 157</t>
  </si>
  <si>
    <t>NDOC - INMATE WELFARE ACCOUNT</t>
  </si>
  <si>
    <t>240-3763</t>
  </si>
  <si>
    <t>CORRECTIONS - 162</t>
  </si>
  <si>
    <t>NDOC - PRISON INDUSTRY</t>
  </si>
  <si>
    <t>525-3719</t>
  </si>
  <si>
    <t>CORRECTIONS - 167</t>
  </si>
  <si>
    <t>NDOC - PRISON RANCH</t>
  </si>
  <si>
    <t>525-3727</t>
  </si>
  <si>
    <t>CORRECTIONS - 171</t>
  </si>
  <si>
    <t>DEPARTMENT OF MOTOR VEHICLES</t>
  </si>
  <si>
    <t>DMV - SYSTEM MODERNIZATION</t>
  </si>
  <si>
    <t>201-4716</t>
  </si>
  <si>
    <t>DMV - 18</t>
  </si>
  <si>
    <t>DMV - DIRECTOR'S OFFICE</t>
  </si>
  <si>
    <t>201-4744</t>
  </si>
  <si>
    <t>DMV - 26</t>
  </si>
  <si>
    <t>DMV - REAL ID</t>
  </si>
  <si>
    <t>201-4746</t>
  </si>
  <si>
    <t>DMV - 30</t>
  </si>
  <si>
    <t>DMV - HEARINGS</t>
  </si>
  <si>
    <t>201-4732</t>
  </si>
  <si>
    <t>DMV - 35</t>
  </si>
  <si>
    <t>DMV - AUTOMATION</t>
  </si>
  <si>
    <t>201-4715</t>
  </si>
  <si>
    <t>DMV - 45</t>
  </si>
  <si>
    <t>DMV - ADMINISTRATIVE SERVICES</t>
  </si>
  <si>
    <t>201-4745</t>
  </si>
  <si>
    <t>DMV - 53</t>
  </si>
  <si>
    <t>DMV - COMPLIANCE ENFORCEMENT</t>
  </si>
  <si>
    <t>201-4740</t>
  </si>
  <si>
    <t>DMV - 61</t>
  </si>
  <si>
    <t>DMV - MOTOR VEHICLE POLLUTION CONTROL</t>
  </si>
  <si>
    <t>101-4722</t>
  </si>
  <si>
    <t>DMV - 70</t>
  </si>
  <si>
    <t>DMV - CENTRAL SERVICES</t>
  </si>
  <si>
    <t>201-4741</t>
  </si>
  <si>
    <t>DMV - 77</t>
  </si>
  <si>
    <t>DMV - LICENSE PLATE FACTORY</t>
  </si>
  <si>
    <t>201-4712</t>
  </si>
  <si>
    <t>DMV - 85</t>
  </si>
  <si>
    <t>DMV - VERIFICATION OF INSURANCE</t>
  </si>
  <si>
    <t>201-4731</t>
  </si>
  <si>
    <t>DMV - 90</t>
  </si>
  <si>
    <t>DMV - RECORDS SEARCH</t>
  </si>
  <si>
    <t>201-4711</t>
  </si>
  <si>
    <t>DMV - 95</t>
  </si>
  <si>
    <t>DMV - FIELD SERVICES</t>
  </si>
  <si>
    <t>201-4735</t>
  </si>
  <si>
    <t>DMV - 102</t>
  </si>
  <si>
    <t>DMV - MOTOR CARRIER</t>
  </si>
  <si>
    <t>201-4717</t>
  </si>
  <si>
    <t>DMV - 108</t>
  </si>
  <si>
    <t>DMV - MANAGEMENT SERVICES</t>
  </si>
  <si>
    <t>201-4742</t>
  </si>
  <si>
    <t>DMV - 114</t>
  </si>
  <si>
    <t>DEPARTMENT OF PUBLIC SAFETY</t>
  </si>
  <si>
    <t>DPS - DIRECTOR'S OFFICE</t>
  </si>
  <si>
    <t>201-4706</t>
  </si>
  <si>
    <t>PUBLIC SAFETY - 16</t>
  </si>
  <si>
    <t>DPS - OFFICE OF PROF RESPONSIBILITY</t>
  </si>
  <si>
    <t>201-4707</t>
  </si>
  <si>
    <t>PUBLIC SAFETY - 21</t>
  </si>
  <si>
    <t>DPS - EVIDENCE VAULT</t>
  </si>
  <si>
    <t>201-4701</t>
  </si>
  <si>
    <t>PUBLIC SAFETY - 25</t>
  </si>
  <si>
    <t>DPS - TRAINING DIVISION</t>
  </si>
  <si>
    <t>101-3775</t>
  </si>
  <si>
    <t>PUBLIC SAFETY - 31</t>
  </si>
  <si>
    <t>DPS - FORFEITURES - LAW ENFORCEMENT</t>
  </si>
  <si>
    <t>PUBLIC SAFETY - 36</t>
  </si>
  <si>
    <t>101-4703</t>
  </si>
  <si>
    <t>DPS - DIGNITARY PROTECTION</t>
  </si>
  <si>
    <t>101-4738</t>
  </si>
  <si>
    <t>PUBLIC SAFETY - 41</t>
  </si>
  <si>
    <t>DPS - HIGHWAY PATROL</t>
  </si>
  <si>
    <t>201-4713</t>
  </si>
  <si>
    <t>PUBLIC SAFETY - 58</t>
  </si>
  <si>
    <t>DPS - NHP K-9 PROGRAM</t>
  </si>
  <si>
    <t>101-4705</t>
  </si>
  <si>
    <t>PUBLIC SAFETY - 61</t>
  </si>
  <si>
    <t>DPS - HIGHWAY SAFETY GRANTS ACCOUNT</t>
  </si>
  <si>
    <t>201-4721</t>
  </si>
  <si>
    <t>PUBLIC SAFETY - 67</t>
  </si>
  <si>
    <t>DPS - PAROLE AND PROBATION</t>
  </si>
  <si>
    <t>101-3740</t>
  </si>
  <si>
    <t>PUBLIC SAFETY - 84</t>
  </si>
  <si>
    <t>DPS - DIVISION OF INVESTIGATIONS</t>
  </si>
  <si>
    <t>101-3743</t>
  </si>
  <si>
    <t>PUBLIC SAFETY - 97</t>
  </si>
  <si>
    <t>DPS - EMERGENCY MANAGEMENT DIVISION</t>
  </si>
  <si>
    <t>101-3673</t>
  </si>
  <si>
    <t>PUBLIC SAFETY - 111</t>
  </si>
  <si>
    <t>DPS - EMERGENCY MANAGEMENT ASSISTANCE GRANTS</t>
  </si>
  <si>
    <t>101-3674</t>
  </si>
  <si>
    <t>PUBLIC SAFETY - 114</t>
  </si>
  <si>
    <t>DPS - HOMELAND SECURITY</t>
  </si>
  <si>
    <t>101-3675</t>
  </si>
  <si>
    <t>PUBLIC SAFETY - 119</t>
  </si>
  <si>
    <t>DPS - CRIMINAL HISTORY REPOSITORY</t>
  </si>
  <si>
    <t>101-4709</t>
  </si>
  <si>
    <t>PUBLIC SAFETY - 136</t>
  </si>
  <si>
    <t>DPS - GENERAL SERVICES</t>
  </si>
  <si>
    <t>101-4702</t>
  </si>
  <si>
    <t>PUBLIC SAFETY - 143</t>
  </si>
  <si>
    <t>DPS - CHILD VOLUNTEER BACKGROUND CHECKS TRUST ACCT</t>
  </si>
  <si>
    <t>101-4710</t>
  </si>
  <si>
    <t>PUBLIC SAFETY - 144</t>
  </si>
  <si>
    <t>DPS - STATE EMERGENCY RESPONSE COMMISSION</t>
  </si>
  <si>
    <t>201-4729</t>
  </si>
  <si>
    <t>PUBLIC SAFETY - 157</t>
  </si>
  <si>
    <t>DPS - FIRE MARSHAL</t>
  </si>
  <si>
    <t>101-3816</t>
  </si>
  <si>
    <t>PUBLIC SAFETY - 165</t>
  </si>
  <si>
    <t>DPS - CIG FIRE SAFE STD &amp; FIREFIGHTER SUPPORT</t>
  </si>
  <si>
    <t>101-3819</t>
  </si>
  <si>
    <t>PUBLIC SAFETY - 168</t>
  </si>
  <si>
    <t>DPS - CAPITOL POLICE</t>
  </si>
  <si>
    <t>710-4727</t>
  </si>
  <si>
    <t>DPS - HIGHWAY SAFETY PLAN &amp; ADMIN</t>
  </si>
  <si>
    <t>101-4688</t>
  </si>
  <si>
    <t>PUBLIC SAFETY - 190</t>
  </si>
  <si>
    <t>DPS - TRAFFIC SAFETY</t>
  </si>
  <si>
    <t>101-4687</t>
  </si>
  <si>
    <t>PUBLIC SAFETY - 192</t>
  </si>
  <si>
    <t>DPS - MOTORCYCLE SAFETY PROGRAM</t>
  </si>
  <si>
    <t>101-4691</t>
  </si>
  <si>
    <t>PUBLIC SAFETY - 197</t>
  </si>
  <si>
    <t>DPS - JUSTICE GRANT</t>
  </si>
  <si>
    <t>101-4736</t>
  </si>
  <si>
    <t>PUBLIC SAFETY - 208</t>
  </si>
  <si>
    <t>DPS - JUSTICE ASSISTANCE ACT</t>
  </si>
  <si>
    <t>101-4708</t>
  </si>
  <si>
    <t>PUBLIC SAFETY - 211</t>
  </si>
  <si>
    <t>DPS - JUSTICE ASSIST GRANT TRUST</t>
  </si>
  <si>
    <t>101-4734</t>
  </si>
  <si>
    <t>PUBLIC SAFETY - 213</t>
  </si>
  <si>
    <t>DPS - FUND FOR REENTRY PROGRAMS</t>
  </si>
  <si>
    <t>101-4737</t>
  </si>
  <si>
    <t>PUBLIC SAFETY - 214</t>
  </si>
  <si>
    <t>DPS - PAROLE BOARD</t>
  </si>
  <si>
    <t>101-3800</t>
  </si>
  <si>
    <t>PUBLIC SAFETY - 224</t>
  </si>
  <si>
    <t>CRC - COLORADO RIVER COMMISSION</t>
  </si>
  <si>
    <t>COLORADO RIVER COMMISSION</t>
  </si>
  <si>
    <t>296-4490</t>
  </si>
  <si>
    <t>COLORADO RIVER COMM - 9</t>
  </si>
  <si>
    <t>CRC - RESEARCH AND DEVELOPMENT</t>
  </si>
  <si>
    <t>296-4497</t>
  </si>
  <si>
    <t>COLORADO RIVER COMM - 11</t>
  </si>
  <si>
    <t>CRC - POWER DELIVERY SYSTEM</t>
  </si>
  <si>
    <t>502-4501</t>
  </si>
  <si>
    <t>COLORADO RIVER COMM - 14</t>
  </si>
  <si>
    <t>CRC - POWER MARKETING FUND</t>
  </si>
  <si>
    <t>505-4502</t>
  </si>
  <si>
    <t>COLORADO RIVER COMM - 16</t>
  </si>
  <si>
    <t>TAHOE REGIONAL PLANNING AGENCY</t>
  </si>
  <si>
    <t>101-4204</t>
  </si>
  <si>
    <t>TRPA - 4</t>
  </si>
  <si>
    <t>DEPARTMENT OF CONSERVATION &amp; NATURAL RESOURCES</t>
  </si>
  <si>
    <t>DCNR - STATE HISTORIC PRESERVATION OFFICE</t>
  </si>
  <si>
    <t>101-4205</t>
  </si>
  <si>
    <t>DCNR - 14</t>
  </si>
  <si>
    <t>DCNR - HISTORIC PRES - COMSTOCK HISTORIC DISTRICT</t>
  </si>
  <si>
    <t>101-5030</t>
  </si>
  <si>
    <t>DCNR - 18</t>
  </si>
  <si>
    <t>DCNR - ADMINISTRATION</t>
  </si>
  <si>
    <t>101-4150</t>
  </si>
  <si>
    <t>DCNR - 31</t>
  </si>
  <si>
    <t>DCNR - CONSERVATION DISTRICTS PROGRAM</t>
  </si>
  <si>
    <t>101-4151</t>
  </si>
  <si>
    <t>DCNR - 39</t>
  </si>
  <si>
    <t>DCNR - STATE PARKS</t>
  </si>
  <si>
    <t>101-4162</t>
  </si>
  <si>
    <t>DCNR - 55</t>
  </si>
  <si>
    <t>DCNR - WATER RESOURCES</t>
  </si>
  <si>
    <t>101-4171</t>
  </si>
  <si>
    <t>DCNR - 71</t>
  </si>
  <si>
    <t>DEPARTMENT OF WILDLIFE</t>
  </si>
  <si>
    <t>WILDLIFE - DIRECTOR'S OFFICE</t>
  </si>
  <si>
    <t>101-4460</t>
  </si>
  <si>
    <t>WILDLIFE - OPERATIONS</t>
  </si>
  <si>
    <t>101-4461</t>
  </si>
  <si>
    <t>WILDLIFE - CONSERVATION EDUCATION</t>
  </si>
  <si>
    <t>101-4462</t>
  </si>
  <si>
    <t>LAW ENFORCEMENT</t>
  </si>
  <si>
    <t>101-4463</t>
  </si>
  <si>
    <t>GAME MANAGEMENT</t>
  </si>
  <si>
    <t>101-4464</t>
  </si>
  <si>
    <t>FISHERIES MANAGEMENT</t>
  </si>
  <si>
    <t>101-4465</t>
  </si>
  <si>
    <t>DIVERSITY</t>
  </si>
  <si>
    <t>101-4466</t>
  </si>
  <si>
    <t>HABITAT</t>
  </si>
  <si>
    <t>101-4467</t>
  </si>
  <si>
    <t xml:space="preserve">DEPARTMENT OF TRANSPORTATION </t>
  </si>
  <si>
    <t>NDOT - BOND CONSTRUCTION</t>
  </si>
  <si>
    <t>201-4663</t>
  </si>
  <si>
    <t xml:space="preserve">NDOT - TRANSPORTATION ADMINISTRATION </t>
  </si>
  <si>
    <t>201-4660</t>
  </si>
  <si>
    <t>PUBLIC EMPLOYEES' RETIREMENT SYSTEM</t>
  </si>
  <si>
    <t>PERS - PUBLIC EMPLOYEES' RETIREMENT SYSTEM</t>
  </si>
  <si>
    <t>101-4821</t>
  </si>
  <si>
    <t>PUBLIC EMPLOYEES' BENEFITS PROGRAM</t>
  </si>
  <si>
    <t>PEBP - PUBLIC EMPLOYEES' BENEFITS PROGRAM</t>
  </si>
  <si>
    <t>625-1338</t>
  </si>
  <si>
    <t>PEBP - RETIRED EMPLOYEE GROUP INSURANCE</t>
  </si>
  <si>
    <t>680-1368</t>
  </si>
  <si>
    <t>PEMP - ACTIVE EMPLOYEES GROUP INSURANCE</t>
  </si>
  <si>
    <t>666-1390</t>
  </si>
  <si>
    <t>DEFERRED COMPENSATION</t>
  </si>
  <si>
    <t>DEFERRED COMPENSATION COMMITTEE</t>
  </si>
  <si>
    <t>101-1017</t>
  </si>
  <si>
    <t>MILITARY</t>
  </si>
  <si>
    <t>101-3650</t>
  </si>
  <si>
    <t>MILITARY CARLIN ARMORY</t>
  </si>
  <si>
    <t>101-3651</t>
  </si>
  <si>
    <t>MILITARY EMERG OPERATIONS CENTER</t>
  </si>
  <si>
    <t>101-3655</t>
  </si>
  <si>
    <t>MILITARY ADJUTANT GENERAL'S SPECIAL FACILITY ACCT</t>
  </si>
  <si>
    <t>101-3652</t>
  </si>
  <si>
    <t>MILITARY NATIONAL GUARD BENEFITS</t>
  </si>
  <si>
    <t>101-3653</t>
  </si>
  <si>
    <t>MILITARY PATRIOT RELIEF FUND</t>
  </si>
  <si>
    <t>101-3654</t>
  </si>
  <si>
    <t>NDVS - OFFICE OF VETERANS SERVICES</t>
  </si>
  <si>
    <t>101-2560</t>
  </si>
  <si>
    <t>NDVS - VETERANS HOME ACCOUNT</t>
  </si>
  <si>
    <t>101-2561</t>
  </si>
  <si>
    <t>101-1400</t>
  </si>
  <si>
    <t>DCNR - FORESTRY</t>
  </si>
  <si>
    <t>DCNR - FOREST FIRE SUPPRESSION</t>
  </si>
  <si>
    <t>DCNR - FORESTRY CONSERVATION CAMPS</t>
  </si>
  <si>
    <t>DCNR - FORESTRY INTER-GOVERNMENTAL AGREEMENTS</t>
  </si>
  <si>
    <t>DCNR - FORESTRY - WILDLAND FIRE PROTECTION PRGM</t>
  </si>
  <si>
    <t>DCNR - FORESTRY NURSERIES</t>
  </si>
  <si>
    <t>DCNR - STATE LANDS</t>
  </si>
  <si>
    <t>DCNR - NEVADA TAHOE REGIONAL PLANNING AGENCY</t>
  </si>
  <si>
    <t>DCNR - NEVADA NATURAL HERITAGE</t>
  </si>
  <si>
    <t>DCNR - STATE ENVIRONMENTAL COMMISSION</t>
  </si>
  <si>
    <t>DCNR - DEP ADMINISTRATION</t>
  </si>
  <si>
    <t>DCNR - DEP AIR QUALITY</t>
  </si>
  <si>
    <t>DCNR - DEP WATER POLLUTION CONTROL</t>
  </si>
  <si>
    <t>DCNR - DEP WASTE MGMT AND CORRECTIVE ACTION</t>
  </si>
  <si>
    <t>DCNR - DEP MINING REGULATION/RECLAMATION</t>
  </si>
  <si>
    <t>DCNR - DEP STATE REVOLVING FUND - ADMIN</t>
  </si>
  <si>
    <t>DCNR - DEP WATER QUALITY PLANNING</t>
  </si>
  <si>
    <t>DCNR - DEP SAFE DRINKING WATER REGULATORY PROGRAM</t>
  </si>
  <si>
    <t>DCNR - DEP WATER PLANNING CAP IMPROVEMENT</t>
  </si>
  <si>
    <t>DCNR - 94</t>
  </si>
  <si>
    <t>DCNR - 97</t>
  </si>
  <si>
    <t>DCNR - 107</t>
  </si>
  <si>
    <t>DCNR - 111</t>
  </si>
  <si>
    <t>DCNR - 115</t>
  </si>
  <si>
    <t>DCNR - 136</t>
  </si>
  <si>
    <t>DCNR - 145</t>
  </si>
  <si>
    <t>DCNR - 163</t>
  </si>
  <si>
    <t>DCNR - 170</t>
  </si>
  <si>
    <t>DCNR - 175</t>
  </si>
  <si>
    <t>DCNR - 180</t>
  </si>
  <si>
    <t>DCNR - 188</t>
  </si>
  <si>
    <t>DCNR - 193</t>
  </si>
  <si>
    <t>DCNR - 198</t>
  </si>
  <si>
    <t>DCNR - 203</t>
  </si>
  <si>
    <t>DCNR - 208</t>
  </si>
  <si>
    <t>DCNR - 211</t>
  </si>
  <si>
    <t>WILDLIFE - 14</t>
  </si>
  <si>
    <t>WILDLIFE - 22</t>
  </si>
  <si>
    <t>WILDLIFE - 29</t>
  </si>
  <si>
    <t>WILDLIFE - 35</t>
  </si>
  <si>
    <t>WILDLIFE - 44</t>
  </si>
  <si>
    <t>WILDLIFE - 51</t>
  </si>
  <si>
    <t>WILDLIFE - 57</t>
  </si>
  <si>
    <t>WILDLIFE - 64</t>
  </si>
  <si>
    <t>NDOT - 16</t>
  </si>
  <si>
    <t>NDOT - 25</t>
  </si>
  <si>
    <t>PERS - 6</t>
  </si>
  <si>
    <t>PEBP - 19</t>
  </si>
  <si>
    <t>PEBP - 24</t>
  </si>
  <si>
    <t>PEBP - 30</t>
  </si>
  <si>
    <t>DEFERRED COMP - 6</t>
  </si>
  <si>
    <t>MILITARY - 25</t>
  </si>
  <si>
    <t>MILITARY - 34</t>
  </si>
  <si>
    <t>MILITARY - 38</t>
  </si>
  <si>
    <t>MILITARY - 40</t>
  </si>
  <si>
    <t>MILITARY - 41</t>
  </si>
  <si>
    <t>MILITARY - 44</t>
  </si>
  <si>
    <t>VETERANS - 15</t>
  </si>
  <si>
    <t>VETERANS - 33</t>
  </si>
  <si>
    <t>HEALTH INSURANCE EXCHANGE - 8</t>
  </si>
  <si>
    <t>SILVER STATE HEALTH INSURANCE EXCHANGE</t>
  </si>
  <si>
    <t xml:space="preserve"> </t>
  </si>
  <si>
    <t>Was this recommended to be shut down per the Government Efficiencies and Waste Elimination section of Leg. Cmt. For the Fundamental Review of base Budgets of State Agencies, presented to IFC on Dec. 17, 2010?</t>
  </si>
  <si>
    <t>PUBLIC SAFETY - 178</t>
  </si>
  <si>
    <t>$8.5+ million in reserve in this account</t>
  </si>
  <si>
    <t>Includes Stein Hospital Funding</t>
  </si>
  <si>
    <t xml:space="preserve">Need Budget office/LCB to determine impact of repealing Medicaid expansion. </t>
  </si>
  <si>
    <t>DCNR - 103</t>
  </si>
  <si>
    <t>DCNR - 135</t>
  </si>
  <si>
    <t>101-4198</t>
  </si>
  <si>
    <t>101-4196</t>
  </si>
  <si>
    <t>101-4195</t>
  </si>
  <si>
    <t>101-4227</t>
  </si>
  <si>
    <t>101-4194</t>
  </si>
  <si>
    <t>257-4235</t>
  </si>
  <si>
    <t>101-4173</t>
  </si>
  <si>
    <t>101-4166</t>
  </si>
  <si>
    <t>101-4101</t>
  </si>
  <si>
    <t>101-4149</t>
  </si>
  <si>
    <t>101-3173</t>
  </si>
  <si>
    <t>101-3185</t>
  </si>
  <si>
    <t>101-3186</t>
  </si>
  <si>
    <t>101-3187</t>
  </si>
  <si>
    <t>101-3188</t>
  </si>
  <si>
    <t>746-3189</t>
  </si>
  <si>
    <t>101-3193</t>
  </si>
  <si>
    <t>101-3197</t>
  </si>
  <si>
    <t>101-4155</t>
  </si>
  <si>
    <t>DEPARTMENT OF VETERANS SERVICES</t>
  </si>
  <si>
    <t>SILVER STATE HEALTH INSURANCE EXCHANGE ADMIN</t>
  </si>
  <si>
    <t>Performance Audit candidate, 6x as big as in 2013, gets funding from "other receipts"</t>
  </si>
  <si>
    <t>Needs additional study</t>
  </si>
  <si>
    <t>Growing reserve</t>
  </si>
  <si>
    <t>Notes</t>
  </si>
  <si>
    <t>ADJUTANT GENERAL</t>
  </si>
  <si>
    <t>DEPARTMENT OF EDUCATION</t>
  </si>
  <si>
    <t>Budget account name</t>
  </si>
  <si>
    <t>DEPARTMENT OF ADMINISTRATION</t>
  </si>
  <si>
    <t>#4 - Cut "Transfer to Budget 1492" Foreclosure Mediation Program</t>
  </si>
  <si>
    <t xml:space="preserve">#4 </t>
  </si>
  <si>
    <t>#4 Federal funds</t>
  </si>
  <si>
    <t>#4, $663,500 each year from feds</t>
  </si>
  <si>
    <t>Likely #4</t>
  </si>
  <si>
    <t>#4 Civil Asset Forfeiture reform may reduce these spending levels</t>
  </si>
  <si>
    <t>#1 6 percent growth from 2013, 2 percent growth from 2016</t>
  </si>
  <si>
    <t>#1 Put $2,335,313 in reserve in 2017</t>
  </si>
  <si>
    <t>#3 Agency request for 2016, #1 2 percent growth for 2017</t>
  </si>
  <si>
    <t>#1 Created in 2009</t>
  </si>
  <si>
    <t>#1 Eliminate Digintary Protection</t>
  </si>
  <si>
    <t>#1 2 percent growth from 2015, 2 percent growth from 2016</t>
  </si>
  <si>
    <t>#1 2 percent growth in personnel costs from FY15, 2 percent growth in personnel costs from FY16</t>
  </si>
  <si>
    <t>#1 2 percent growth in personnel costs from FY15, 2 percent growth in personnel costs from FY16, do not fund E225, general counsel position</t>
  </si>
  <si>
    <t>#1 Maintain 2013 funding level + E226, financial hardship assistance program</t>
  </si>
  <si>
    <t>#1 2 percent growth since 2016</t>
  </si>
  <si>
    <t>#2 Stop funding litigation on Yucca Mtn.</t>
  </si>
  <si>
    <t>Requested $11.79 million over biennium for "Technology Investment Request"</t>
  </si>
  <si>
    <t>#1 6 percent growth from 2013</t>
  </si>
  <si>
    <t>#1 2 percent growth from 2016</t>
  </si>
  <si>
    <t>#2 $4 mil in reserves each year</t>
  </si>
  <si>
    <t>#1 6 percent growth from 2013, 2 percent growth from 2016, no BLT saves $3,833,248</t>
  </si>
  <si>
    <t>2016 reductions</t>
  </si>
  <si>
    <t>2017 reductions</t>
  </si>
  <si>
    <t>Read by Three</t>
  </si>
  <si>
    <t>2016 spending</t>
  </si>
  <si>
    <t>2017 spending</t>
  </si>
  <si>
    <t>Underperforming schools turnaround</t>
  </si>
  <si>
    <t>Charter School Harbor Master Fund</t>
  </si>
  <si>
    <t>Nevada Ready 21st Century Technology Grants</t>
  </si>
  <si>
    <t>Nevada Ready 21st Century WAN incentive/match</t>
  </si>
  <si>
    <t xml:space="preserve">#3 Find out more. What is this? </t>
  </si>
  <si>
    <t>Social Worker grants to schools</t>
  </si>
  <si>
    <t>Ed- Tech-KLVX-satellite</t>
  </si>
  <si>
    <t>Jobs for America’s Graduates</t>
  </si>
  <si>
    <t>College and Career Readiness</t>
  </si>
  <si>
    <t>VOC Student Org</t>
  </si>
  <si>
    <t>GATE</t>
  </si>
  <si>
    <t>LEA Library Books</t>
  </si>
  <si>
    <t>Public Broadcasting</t>
  </si>
  <si>
    <t>Early Childhood Education</t>
  </si>
  <si>
    <t>Special Elem. Counseling</t>
  </si>
  <si>
    <t>??</t>
  </si>
  <si>
    <t>Project Gain</t>
  </si>
  <si>
    <t>Teacher Certification</t>
  </si>
  <si>
    <t>Counselor Certification</t>
  </si>
  <si>
    <t>Speech Path. Increment</t>
  </si>
  <si>
    <t>CTE Programs</t>
  </si>
  <si>
    <t>Ed Tech-SD-Hardware</t>
  </si>
  <si>
    <t>#2 UNLV School of Medicine</t>
  </si>
  <si>
    <t>#1 6 percent growth since 2013</t>
  </si>
  <si>
    <t>#4 Limit GOED to helping businesses deal with red tape and identifying government regulations to remove</t>
  </si>
  <si>
    <t>#4 Limit role to facilitating permiting, etc… Cut Advertising and marketing</t>
  </si>
  <si>
    <t>#1 6 percent growth since 2013, 2 percent in 2017</t>
  </si>
  <si>
    <t>#1 Gov Rec eliminated funding in 2013</t>
  </si>
  <si>
    <t>#1 6 percent growth since 2013, 2 percent in 2017 (extra in reserve in Gov Rec)</t>
  </si>
  <si>
    <t>#1 Replace with federal benefits FTA and loan repayments</t>
  </si>
  <si>
    <t>Formula based funding of 101-3013</t>
  </si>
  <si>
    <t>NPRI recommended general fund spending</t>
  </si>
  <si>
    <t>for NSHE institutions outside of 101-3013</t>
  </si>
  <si>
    <t>Gov Rec GF approriations</t>
  </si>
  <si>
    <t>Gov Rec formula-based funding 101-3013</t>
  </si>
  <si>
    <t>Formula verification</t>
  </si>
  <si>
    <t>#1 Formula based detailed on tab 101-3013</t>
  </si>
  <si>
    <t>#1 6 percent growth since 2013, 2 percent growth since 2016</t>
  </si>
  <si>
    <t>#4 Cut E275 ($2 million for school breakfaststart-up grants)</t>
  </si>
  <si>
    <t>Worth further investigation. Sounds like government directed economic development.</t>
  </si>
  <si>
    <t>#1 6 percent growth since 2013, 2 percent since 2016</t>
  </si>
  <si>
    <t>#1 6 percent growth since 2013 just in GF approriations, 2 percent growth since 2016 just in GF approriations</t>
  </si>
  <si>
    <t>Reason #1, GF</t>
  </si>
  <si>
    <t>Reason #2, GF</t>
  </si>
  <si>
    <t>Reason #3, GF</t>
  </si>
  <si>
    <t>Reason #4, GF</t>
  </si>
  <si>
    <t>$3.1 million additional requested for information services</t>
  </si>
  <si>
    <t>Reason #1, fungible to GF</t>
  </si>
  <si>
    <t>Reason #4, fungible to GF</t>
  </si>
  <si>
    <t>Reason #3, fungible to GF</t>
  </si>
  <si>
    <t>Reason #2, fungible to GF</t>
  </si>
  <si>
    <t>Not fungible to GF</t>
  </si>
  <si>
    <t>Includes Sagebrush spending</t>
  </si>
  <si>
    <t>#1 2 percent growth in GF appropriations from 2015, 2 percent growth in General Fund appropriations from 2016</t>
  </si>
  <si>
    <t>#4, includes for $1.5 mil in 2016 for GOE state employee energy program, $904,604K each year non-fungible</t>
  </si>
  <si>
    <t>Source: Slide 35 from NDOE Executive Budget DSA &amp; Related K-12 Budgets, Feb. 19, 2015</t>
  </si>
  <si>
    <t>Cut M300 change in fringe benefit rates (combine with NRS 288 changes to achieve better results for less)</t>
  </si>
  <si>
    <t>Eliminate instructional salary 2 percent increases for DSA and Special Ed (combined with NRS288 changes to achieve better results for less)</t>
  </si>
  <si>
    <t>Cut Class-Size Reduction Aid to Schools</t>
  </si>
  <si>
    <t>Maintain Special Education Funding levels</t>
  </si>
  <si>
    <t>#2 Detailed on tab 101-2610</t>
  </si>
  <si>
    <t>#2 Spending reductions detailed on tab 101-2699</t>
  </si>
  <si>
    <t>Combine with NRS 288 reforms to achieve more for less. "Local" sources of funding incl. 2.6% LSST https://www.leg.state.nv.us/App/NELIS/REL/78th2015/ExhibitDocument/OpenExhibitDocument/10459/Nevada%20Plan%20table%20A.pdf</t>
  </si>
  <si>
    <t>Controller - Performance Audits</t>
  </si>
  <si>
    <t>NEW Implement Performance Audits</t>
  </si>
  <si>
    <t>NEW SPENDING</t>
  </si>
  <si>
    <t>#2 Replace sunset of .35 percent of LSST, estimate here: http://www.npri.org/issues/publication/sandovals-tax-hike-higher-than-reported</t>
  </si>
  <si>
    <t>New spending</t>
  </si>
  <si>
    <t>2016 increases</t>
  </si>
  <si>
    <t>2017 increases</t>
  </si>
  <si>
    <t>Replacement funding of .35% LSST, Net Proceeds of Minerals</t>
  </si>
  <si>
    <t>Principles of NPRI Freedom Budget 2015</t>
  </si>
  <si>
    <t>1. Use previous recommendations from Gov. Sandoval, mostly his 2012/13 Governor’s Request Budget, as a baseline. Adjust for population growth, inflation, productivity gains and freedom under charter agency rules.</t>
  </si>
  <si>
    <t>2. Embrace limited, effective government.</t>
  </si>
  <si>
    <r>
      <t>·</t>
    </r>
    <r>
      <rPr>
        <sz val="7"/>
        <color theme="1"/>
        <rFont val="Times New Roman"/>
      </rPr>
      <t xml:space="preserve">      </t>
    </r>
    <r>
      <rPr>
        <sz val="12"/>
        <color theme="1"/>
        <rFont val="Cambria"/>
      </rPr>
      <t>Don’t expand government, especially with wasteful and ineffective programs.</t>
    </r>
  </si>
  <si>
    <r>
      <t>·</t>
    </r>
    <r>
      <rPr>
        <sz val="7"/>
        <color theme="1"/>
        <rFont val="Times New Roman"/>
      </rPr>
      <t xml:space="preserve">      </t>
    </r>
    <r>
      <rPr>
        <sz val="12"/>
        <color theme="1"/>
        <rFont val="Cambria"/>
      </rPr>
      <t>Eliminate ineffective programs.</t>
    </r>
  </si>
  <si>
    <t>3. Go with agency requests, instead of the higher amount requested by Gov. Sandoval.</t>
  </si>
  <si>
    <t>4. Limit government to core and constitutional functions.</t>
  </si>
  <si>
    <t>NPRI recommended new spending</t>
  </si>
  <si>
    <t>Non-GF savings, not fungible to general fund</t>
  </si>
  <si>
    <t>2012/2013 Total</t>
  </si>
  <si>
    <t xml:space="preserve">Attorney General's Office </t>
  </si>
  <si>
    <t>Avoid double counting savings</t>
  </si>
  <si>
    <t>#2 Mostly a fund sweep</t>
  </si>
  <si>
    <t>#2 Keep Transportation Trans and Private Grant - A</t>
  </si>
  <si>
    <t>#3 Agency Request for 2016 and eliminate Upromise marketing, matching grant and field representative (#2)</t>
  </si>
  <si>
    <t>#4 Eliminate Foreclosure Medication Reimbursement, #3 Agency Request in 2017</t>
  </si>
  <si>
    <t>#2 Vehicle one-shot funding at 2015 levels</t>
  </si>
  <si>
    <t>Check on Infinite Campus</t>
  </si>
  <si>
    <t>#1 12% increase from 2013 to 2016, 2% increase 2016 to 2017</t>
  </si>
  <si>
    <t>#1 24% increase from 2013 to 2016, 2% increase 2016 to 2017</t>
  </si>
  <si>
    <t>503-3841</t>
  </si>
  <si>
    <t>Look into Loan disbursements</t>
  </si>
  <si>
    <t>#1 Reserve in 2017 at 2016 levels</t>
  </si>
  <si>
    <t>#3 Agency Request on reserve in 2017</t>
  </si>
  <si>
    <t>#1 6 percent growth since 2013, 2 percent since 2016, #2 Eliminate prevailing wage and PW funding (B&amp;I - 236)</t>
  </si>
  <si>
    <t>#3 Agency Request on Reserve</t>
  </si>
  <si>
    <t>#4 Keeping transfers to other funds, except Nevada Magazine and Arts Council</t>
  </si>
  <si>
    <t>#1 12 percent growth since 2013, 2 percent since 2016</t>
  </si>
  <si>
    <t>Possible federal funding implications</t>
  </si>
  <si>
    <t>#3 Agency Request for Personnel in 2016 and 2017</t>
  </si>
  <si>
    <t>#1 12% increase from 2013 to 2016, 2 percent growth from 2016</t>
  </si>
  <si>
    <t>#1 12% increase from 2013 to 2016, just GF approriations, 2 percent growth in GF approriations from 2016, may have federal funding implications</t>
  </si>
  <si>
    <t>$25,024,204 in federal funds</t>
  </si>
  <si>
    <t>#3 Agency Request reserve amount in 2017</t>
  </si>
  <si>
    <t>#3 Agency request for 2016, 2 percent growth since 2016</t>
  </si>
  <si>
    <t>#3 Agency Request for 2016</t>
  </si>
  <si>
    <t>Moving $14 mil to Highway Fund</t>
  </si>
  <si>
    <t>#3 Agency Request for reserve amounts</t>
  </si>
  <si>
    <t>#1 6 percent growth since 2013, #3 Agency Request in 2016</t>
  </si>
  <si>
    <t>#2 Combined reserves at $10 million per year</t>
  </si>
  <si>
    <t>#1 Don't increase fees contained in E226, E227</t>
  </si>
  <si>
    <t>Role of government?</t>
  </si>
  <si>
    <t>Total savings reductions (not including new spending)</t>
  </si>
  <si>
    <t>2016 NPRI Rec</t>
  </si>
  <si>
    <t>2017 NPRI Rec</t>
  </si>
  <si>
    <t>2016/17 NPRI Total</t>
  </si>
  <si>
    <t>2016/17 Gov Rec Total</t>
  </si>
  <si>
    <t>Department of Employment, Training and Rehab</t>
  </si>
  <si>
    <t>Dhepartment of Health and Human Services</t>
  </si>
  <si>
    <t>Department of Motor Vehicles</t>
  </si>
  <si>
    <t>Department of Public Safety</t>
  </si>
  <si>
    <t>Department of Transportation</t>
  </si>
  <si>
    <t>Nevada System of Higher Education</t>
  </si>
  <si>
    <t>Public Employees' Benefits Program</t>
  </si>
  <si>
    <t>Public Employees' Retirement System</t>
  </si>
  <si>
    <t>Public Utilities Commission</t>
  </si>
  <si>
    <t>Tahoe Regional Planning Agency</t>
  </si>
  <si>
    <t>Agency that has been reorganized into a new agency since 2012/13 budget</t>
  </si>
  <si>
    <t>Agency that has been created since 2012/13 budget</t>
  </si>
  <si>
    <t>Totals</t>
  </si>
  <si>
    <t>Percent change</t>
  </si>
  <si>
    <t>Percent comparison</t>
  </si>
  <si>
    <t>Mostly federal dollars, but role of government?</t>
  </si>
  <si>
    <t>#3 Agency Request for 2016, #1 2 percent growth from 2016</t>
  </si>
  <si>
    <t>#3 Agency Request in 2016, 2% growth</t>
  </si>
  <si>
    <t>Legislative Decision Units</t>
  </si>
  <si>
    <t>#1 Wait on E712 Microwave Radio system</t>
  </si>
  <si>
    <t>#1 2 percent growth from 2015, 2 percent growth in 2017</t>
  </si>
  <si>
    <t>#3</t>
  </si>
  <si>
    <t>#3 Agency Request, keep transfers from other b/a, redirect Transfer from Treasurer to general fund</t>
  </si>
  <si>
    <t>Non-GF savings, but fungible to general fund</t>
  </si>
  <si>
    <t>There isn't a one-to-one correlation between spending reductions and money available to policymakers for other priorities.</t>
  </si>
  <si>
    <t>Reductions from the governor's budget (columns P to Y) must be cross referenced with column O to avoid double counting money.</t>
  </si>
  <si>
    <t>Additionally, the transfers to the Department of Energy are eliminated in that account, so they must not be double counted in this B/A.</t>
  </si>
  <si>
    <t>This occurs most often when the Freedom Budget recommends reducing money saved in 2016, which means the spending is down in 2017, but those funds aren't available or the money is transferred to another fund and cut there.</t>
  </si>
  <si>
    <t>Department total 2016</t>
  </si>
  <si>
    <t>Department total 2017</t>
  </si>
  <si>
    <t>#2 $20,939,529 in federal matching funds, rest GF approriations</t>
  </si>
  <si>
    <r>
      <t>·</t>
    </r>
    <r>
      <rPr>
        <sz val="7"/>
        <color theme="1"/>
        <rFont val="Times New Roman"/>
      </rPr>
      <t xml:space="preserve">      </t>
    </r>
    <r>
      <rPr>
        <sz val="12"/>
        <color theme="1"/>
        <rFont val="Cambria"/>
      </rPr>
      <t>Use policy reforms to achieve the same or better outcomes for less.</t>
    </r>
  </si>
  <si>
    <r>
      <t>·</t>
    </r>
    <r>
      <rPr>
        <sz val="7"/>
        <color theme="1"/>
        <rFont val="Times New Roman"/>
      </rPr>
      <t xml:space="preserve">      </t>
    </r>
    <r>
      <rPr>
        <sz val="12"/>
        <color theme="1"/>
        <rFont val="Cambria"/>
      </rPr>
      <t>Don’t pay more for more of the same.</t>
    </r>
  </si>
  <si>
    <t>Consider Renewable Energy Fund, B/A 101-4869. The reserve is swept in 2016, which means those funds aren't available for 2017, although there is a spending reduction.</t>
  </si>
</sst>
</file>

<file path=xl/styles.xml><?xml version="1.0" encoding="utf-8"?>
<styleSheet xmlns="http://schemas.openxmlformats.org/spreadsheetml/2006/main">
  <numFmts count="5">
    <numFmt numFmtId="6" formatCode="&quot;$&quot;#,##0_);[Red]\(&quot;$&quot;#,##0\)"/>
    <numFmt numFmtId="44" formatCode="_(&quot;$&quot;* #,##0.00_);_(&quot;$&quot;* \(#,##0.00\);_(&quot;$&quot;* &quot;-&quot;??_);_(@_)"/>
    <numFmt numFmtId="164" formatCode="&quot;$&quot;#,##0"/>
    <numFmt numFmtId="165" formatCode="&quot;$&quot;#,##0.00"/>
    <numFmt numFmtId="166" formatCode="&quot;$&quot;#,##0;&quot;$&quot;\-#,##0"/>
  </numFmts>
  <fonts count="20">
    <font>
      <sz val="12"/>
      <color theme="1"/>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b/>
      <sz val="9"/>
      <color indexed="81"/>
      <name val="Calibri"/>
      <family val="2"/>
    </font>
    <font>
      <sz val="9"/>
      <color indexed="81"/>
      <name val="Calibri"/>
      <family val="2"/>
    </font>
    <font>
      <u/>
      <sz val="12"/>
      <color theme="10"/>
      <name val="Calibri"/>
      <family val="2"/>
      <scheme val="minor"/>
    </font>
    <font>
      <u/>
      <sz val="12"/>
      <color theme="11"/>
      <name val="Calibri"/>
      <family val="2"/>
      <scheme val="minor"/>
    </font>
    <font>
      <sz val="12"/>
      <color theme="1"/>
      <name val="Calibri"/>
      <family val="2"/>
      <scheme val="minor"/>
    </font>
    <font>
      <sz val="12"/>
      <color theme="1"/>
      <name val="Cambria"/>
    </font>
    <font>
      <sz val="12"/>
      <name val="Calibri"/>
      <scheme val="minor"/>
    </font>
    <font>
      <sz val="12"/>
      <name val="Calibri (Body)"/>
    </font>
    <font>
      <b/>
      <sz val="12"/>
      <name val="Calibri (Body)"/>
    </font>
    <font>
      <b/>
      <sz val="12"/>
      <color theme="1"/>
      <name val="Cambria"/>
    </font>
    <font>
      <sz val="12"/>
      <color theme="1"/>
      <name val="Symbol"/>
    </font>
    <font>
      <sz val="7"/>
      <color theme="1"/>
      <name val="Times New Roman"/>
    </font>
    <font>
      <b/>
      <sz val="12"/>
      <name val="Calibri"/>
      <scheme val="minor"/>
    </font>
    <font>
      <sz val="12"/>
      <name val="Calibri"/>
    </font>
    <font>
      <b/>
      <sz val="12"/>
      <name val="Calibri"/>
    </font>
    <font>
      <sz val="11"/>
      <name val="Calibri"/>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FF6600"/>
        <bgColor indexed="64"/>
      </patternFill>
    </fill>
    <fill>
      <patternFill patternType="solid">
        <fgColor rgb="FF008000"/>
        <bgColor indexed="64"/>
      </patternFill>
    </fill>
    <fill>
      <patternFill patternType="solid">
        <fgColor rgb="FFFFFF00"/>
        <bgColor rgb="FF000000"/>
      </patternFill>
    </fill>
    <fill>
      <patternFill patternType="solid">
        <fgColor rgb="FFFFFFFF"/>
        <bgColor rgb="FF000000"/>
      </patternFill>
    </fill>
    <fill>
      <patternFill patternType="solid">
        <fgColor rgb="FFCCFFCC"/>
        <bgColor rgb="FF000000"/>
      </patternFill>
    </fill>
    <fill>
      <patternFill patternType="solid">
        <fgColor theme="0"/>
        <bgColor rgb="FF000000"/>
      </patternFill>
    </fill>
  </fills>
  <borders count="1">
    <border>
      <left/>
      <right/>
      <top/>
      <bottom/>
      <diagonal/>
    </border>
  </borders>
  <cellStyleXfs count="226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4" fontId="8"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68">
    <xf numFmtId="0" fontId="0" fillId="0" borderId="0" xfId="0"/>
    <xf numFmtId="0" fontId="2" fillId="0" borderId="0" xfId="0" applyFont="1"/>
    <xf numFmtId="164" fontId="0" fillId="0" borderId="0" xfId="0" applyNumberFormat="1"/>
    <xf numFmtId="0" fontId="0" fillId="2" borderId="0" xfId="0" applyFill="1"/>
    <xf numFmtId="0" fontId="0" fillId="3" borderId="0" xfId="0" applyFill="1"/>
    <xf numFmtId="0" fontId="0" fillId="0" borderId="0" xfId="0" applyFill="1"/>
    <xf numFmtId="164" fontId="0" fillId="0" borderId="0" xfId="0" applyNumberFormat="1" applyFill="1"/>
    <xf numFmtId="164" fontId="3" fillId="0" borderId="0" xfId="0" applyNumberFormat="1" applyFont="1"/>
    <xf numFmtId="0" fontId="9" fillId="0" borderId="0" xfId="0" applyFont="1" applyAlignment="1">
      <alignment vertical="center"/>
    </xf>
    <xf numFmtId="0" fontId="0" fillId="0" borderId="0" xfId="0" applyFont="1"/>
    <xf numFmtId="0" fontId="0" fillId="5" borderId="0" xfId="0" applyFill="1"/>
    <xf numFmtId="0" fontId="3" fillId="0" borderId="0" xfId="0" applyFont="1"/>
    <xf numFmtId="0" fontId="11" fillId="0" borderId="0" xfId="0" applyFont="1"/>
    <xf numFmtId="164" fontId="11" fillId="0" borderId="0" xfId="0" applyNumberFormat="1" applyFont="1"/>
    <xf numFmtId="0" fontId="11" fillId="0" borderId="0" xfId="0" applyFont="1" applyAlignment="1">
      <alignment vertical="center"/>
    </xf>
    <xf numFmtId="164" fontId="11" fillId="0" borderId="0" xfId="0" applyNumberFormat="1" applyFont="1" applyAlignment="1">
      <alignment vertical="center"/>
    </xf>
    <xf numFmtId="0" fontId="12" fillId="0" borderId="0" xfId="0" applyFont="1"/>
    <xf numFmtId="165" fontId="0" fillId="0" borderId="0" xfId="0" applyNumberFormat="1"/>
    <xf numFmtId="0" fontId="0" fillId="2" borderId="0" xfId="0" applyFont="1" applyFill="1"/>
    <xf numFmtId="0" fontId="0" fillId="6" borderId="0" xfId="0" applyFill="1"/>
    <xf numFmtId="0" fontId="9" fillId="0" borderId="0" xfId="0" applyFont="1" applyAlignment="1">
      <alignment horizontal="center" vertical="center"/>
    </xf>
    <xf numFmtId="0" fontId="14" fillId="0" borderId="0" xfId="0" applyFont="1" applyAlignment="1">
      <alignment horizontal="left" vertical="center" indent="3"/>
    </xf>
    <xf numFmtId="0" fontId="13" fillId="0" borderId="0" xfId="0" applyFont="1" applyAlignment="1">
      <alignment horizontal="left" vertical="center"/>
    </xf>
    <xf numFmtId="0" fontId="3" fillId="3" borderId="0" xfId="0" applyFont="1" applyFill="1"/>
    <xf numFmtId="6" fontId="0" fillId="5" borderId="0" xfId="0" applyNumberFormat="1" applyFill="1"/>
    <xf numFmtId="0" fontId="16" fillId="0" borderId="0" xfId="0" applyFont="1"/>
    <xf numFmtId="164" fontId="16" fillId="0" borderId="0" xfId="0" applyNumberFormat="1" applyFont="1"/>
    <xf numFmtId="0" fontId="10" fillId="0" borderId="0" xfId="0" applyFont="1"/>
    <xf numFmtId="164" fontId="10" fillId="0" borderId="0" xfId="0" applyNumberFormat="1" applyFont="1"/>
    <xf numFmtId="166" fontId="10" fillId="0" borderId="0" xfId="0" applyNumberFormat="1" applyFont="1" applyAlignment="1">
      <alignment horizontal="right" wrapText="1"/>
    </xf>
    <xf numFmtId="166" fontId="10" fillId="0" borderId="0" xfId="0" applyNumberFormat="1" applyFont="1"/>
    <xf numFmtId="0" fontId="10" fillId="7" borderId="0" xfId="0" applyFont="1" applyFill="1"/>
    <xf numFmtId="164" fontId="10" fillId="8" borderId="0" xfId="0" applyNumberFormat="1" applyFont="1" applyFill="1"/>
    <xf numFmtId="0" fontId="10" fillId="9" borderId="0" xfId="0" applyFont="1" applyFill="1"/>
    <xf numFmtId="0" fontId="17" fillId="3" borderId="0" xfId="0" applyFont="1" applyFill="1"/>
    <xf numFmtId="0" fontId="17" fillId="0" borderId="0" xfId="0" applyFont="1" applyFill="1"/>
    <xf numFmtId="0" fontId="17" fillId="4" borderId="0" xfId="2088" applyFont="1" applyFill="1"/>
    <xf numFmtId="0" fontId="18" fillId="0" borderId="0" xfId="2088" applyFont="1"/>
    <xf numFmtId="164" fontId="18" fillId="0" borderId="0" xfId="2088" applyNumberFormat="1" applyFont="1" applyFill="1"/>
    <xf numFmtId="0" fontId="17" fillId="0" borderId="0" xfId="0" applyFont="1"/>
    <xf numFmtId="0" fontId="17" fillId="0" borderId="0" xfId="2088" applyFont="1"/>
    <xf numFmtId="164" fontId="17" fillId="0" borderId="0" xfId="2088" applyNumberFormat="1" applyFont="1" applyFill="1"/>
    <xf numFmtId="10" fontId="17" fillId="0" borderId="0" xfId="2088" applyNumberFormat="1" applyFont="1" applyFill="1"/>
    <xf numFmtId="166" fontId="17" fillId="0" borderId="0" xfId="0" applyNumberFormat="1" applyFont="1" applyFill="1" applyBorder="1" applyAlignment="1">
      <alignment horizontal="right" wrapText="1"/>
    </xf>
    <xf numFmtId="10" fontId="17" fillId="0" borderId="0" xfId="0" applyNumberFormat="1" applyFont="1" applyFill="1" applyBorder="1" applyAlignment="1">
      <alignment horizontal="right" wrapText="1"/>
    </xf>
    <xf numFmtId="10" fontId="17" fillId="0" borderId="0" xfId="0" applyNumberFormat="1" applyFont="1" applyFill="1"/>
    <xf numFmtId="164" fontId="17" fillId="0" borderId="0" xfId="0" applyNumberFormat="1" applyFont="1" applyFill="1"/>
    <xf numFmtId="0" fontId="17" fillId="3" borderId="0" xfId="2088" applyFont="1" applyFill="1"/>
    <xf numFmtId="0" fontId="19" fillId="0" borderId="0" xfId="0" applyFont="1" applyFill="1"/>
    <xf numFmtId="0" fontId="19" fillId="0" borderId="0" xfId="0" applyFont="1"/>
    <xf numFmtId="0" fontId="16" fillId="0" borderId="0" xfId="2088" applyFont="1" applyFill="1"/>
    <xf numFmtId="164" fontId="16" fillId="0" borderId="0" xfId="2088" applyNumberFormat="1" applyFont="1" applyFill="1"/>
    <xf numFmtId="0" fontId="10" fillId="0" borderId="0" xfId="0" applyFont="1" applyFill="1"/>
    <xf numFmtId="0" fontId="10" fillId="0" borderId="0" xfId="2088" applyFont="1" applyFill="1"/>
    <xf numFmtId="164" fontId="10" fillId="0" borderId="0" xfId="2088" applyNumberFormat="1" applyFont="1" applyFill="1"/>
    <xf numFmtId="166" fontId="10" fillId="0" borderId="0" xfId="0" applyNumberFormat="1" applyFont="1" applyFill="1" applyBorder="1" applyAlignment="1">
      <alignment horizontal="right" wrapText="1"/>
    </xf>
    <xf numFmtId="10" fontId="10" fillId="0" borderId="0" xfId="0" applyNumberFormat="1" applyFont="1" applyFill="1" applyBorder="1" applyAlignment="1">
      <alignment horizontal="right" wrapText="1"/>
    </xf>
    <xf numFmtId="164" fontId="2" fillId="0" borderId="0" xfId="0" applyNumberFormat="1" applyFont="1" applyFill="1"/>
    <xf numFmtId="165" fontId="0" fillId="0" borderId="0" xfId="0" applyNumberFormat="1" applyFill="1"/>
    <xf numFmtId="0" fontId="0" fillId="0" borderId="0" xfId="0" applyFont="1" applyFill="1"/>
    <xf numFmtId="164" fontId="0" fillId="0" borderId="0" xfId="0" applyNumberFormat="1" applyFont="1" applyFill="1"/>
    <xf numFmtId="164" fontId="3" fillId="0" borderId="0" xfId="0" applyNumberFormat="1" applyFont="1" applyFill="1"/>
    <xf numFmtId="0" fontId="2" fillId="0" borderId="0" xfId="0" applyFont="1" applyFill="1"/>
    <xf numFmtId="3" fontId="0" fillId="0" borderId="0" xfId="0" applyNumberFormat="1" applyFill="1"/>
    <xf numFmtId="44" fontId="0" fillId="0" borderId="0" xfId="169" applyFont="1" applyFill="1"/>
    <xf numFmtId="17" fontId="0" fillId="0" borderId="0" xfId="0" applyNumberFormat="1" applyFill="1"/>
    <xf numFmtId="0" fontId="10" fillId="10" borderId="0" xfId="0" applyFont="1" applyFill="1"/>
    <xf numFmtId="0" fontId="17" fillId="0" borderId="0" xfId="2088" applyFont="1" applyFill="1"/>
  </cellXfs>
  <cellStyles count="2269">
    <cellStyle name="Currency" xfId="169"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5" builtinId="9" hidden="1"/>
    <cellStyle name="Followed Hyperlink" xfId="1487"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5"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79" builtinId="9" hidden="1"/>
    <cellStyle name="Followed Hyperlink" xfId="1681" builtinId="9" hidden="1"/>
    <cellStyle name="Followed Hyperlink" xfId="1683" builtinId="9" hidden="1"/>
    <cellStyle name="Followed Hyperlink" xfId="1685" builtinId="9" hidden="1"/>
    <cellStyle name="Followed Hyperlink" xfId="1687" builtinId="9" hidden="1"/>
    <cellStyle name="Followed Hyperlink" xfId="1689" builtinId="9" hidden="1"/>
    <cellStyle name="Followed Hyperlink" xfId="1691" builtinId="9" hidden="1"/>
    <cellStyle name="Followed Hyperlink" xfId="1693" builtinId="9" hidden="1"/>
    <cellStyle name="Followed Hyperlink" xfId="1695" builtinId="9" hidden="1"/>
    <cellStyle name="Followed Hyperlink" xfId="1697" builtinId="9" hidden="1"/>
    <cellStyle name="Followed Hyperlink" xfId="1699" builtinId="9" hidden="1"/>
    <cellStyle name="Followed Hyperlink" xfId="1701" builtinId="9" hidden="1"/>
    <cellStyle name="Followed Hyperlink" xfId="1703" builtinId="9" hidden="1"/>
    <cellStyle name="Followed Hyperlink" xfId="1705" builtinId="9" hidden="1"/>
    <cellStyle name="Followed Hyperlink" xfId="1707" builtinId="9" hidden="1"/>
    <cellStyle name="Followed Hyperlink" xfId="1709" builtinId="9" hidden="1"/>
    <cellStyle name="Followed Hyperlink" xfId="1711" builtinId="9" hidden="1"/>
    <cellStyle name="Followed Hyperlink" xfId="1713" builtinId="9" hidden="1"/>
    <cellStyle name="Followed Hyperlink" xfId="1715" builtinId="9" hidden="1"/>
    <cellStyle name="Followed Hyperlink" xfId="1717" builtinId="9" hidden="1"/>
    <cellStyle name="Followed Hyperlink" xfId="1719" builtinId="9" hidden="1"/>
    <cellStyle name="Followed Hyperlink" xfId="1721" builtinId="9" hidden="1"/>
    <cellStyle name="Followed Hyperlink" xfId="1723" builtinId="9" hidden="1"/>
    <cellStyle name="Followed Hyperlink" xfId="1725" builtinId="9" hidden="1"/>
    <cellStyle name="Followed Hyperlink" xfId="1727" builtinId="9" hidden="1"/>
    <cellStyle name="Followed Hyperlink" xfId="1729" builtinId="9" hidden="1"/>
    <cellStyle name="Followed Hyperlink" xfId="1731" builtinId="9" hidden="1"/>
    <cellStyle name="Followed Hyperlink" xfId="1733" builtinId="9" hidden="1"/>
    <cellStyle name="Followed Hyperlink" xfId="1735" builtinId="9" hidden="1"/>
    <cellStyle name="Followed Hyperlink" xfId="1737" builtinId="9" hidden="1"/>
    <cellStyle name="Followed Hyperlink" xfId="1739" builtinId="9" hidden="1"/>
    <cellStyle name="Followed Hyperlink" xfId="1741" builtinId="9" hidden="1"/>
    <cellStyle name="Followed Hyperlink" xfId="1743" builtinId="9" hidden="1"/>
    <cellStyle name="Followed Hyperlink" xfId="1745" builtinId="9" hidden="1"/>
    <cellStyle name="Followed Hyperlink" xfId="1747" builtinId="9" hidden="1"/>
    <cellStyle name="Followed Hyperlink" xfId="1749" builtinId="9" hidden="1"/>
    <cellStyle name="Followed Hyperlink" xfId="1751" builtinId="9" hidden="1"/>
    <cellStyle name="Followed Hyperlink" xfId="1753" builtinId="9" hidden="1"/>
    <cellStyle name="Followed Hyperlink" xfId="1755" builtinId="9" hidden="1"/>
    <cellStyle name="Followed Hyperlink" xfId="1757" builtinId="9" hidden="1"/>
    <cellStyle name="Followed Hyperlink" xfId="1759" builtinId="9" hidden="1"/>
    <cellStyle name="Followed Hyperlink" xfId="1761" builtinId="9" hidden="1"/>
    <cellStyle name="Followed Hyperlink" xfId="1763" builtinId="9" hidden="1"/>
    <cellStyle name="Followed Hyperlink" xfId="1765" builtinId="9" hidden="1"/>
    <cellStyle name="Followed Hyperlink" xfId="1767" builtinId="9" hidden="1"/>
    <cellStyle name="Followed Hyperlink" xfId="1769" builtinId="9" hidden="1"/>
    <cellStyle name="Followed Hyperlink" xfId="1771" builtinId="9" hidden="1"/>
    <cellStyle name="Followed Hyperlink" xfId="1773" builtinId="9" hidden="1"/>
    <cellStyle name="Followed Hyperlink" xfId="1775" builtinId="9" hidden="1"/>
    <cellStyle name="Followed Hyperlink" xfId="1777" builtinId="9" hidden="1"/>
    <cellStyle name="Followed Hyperlink" xfId="1779" builtinId="9" hidden="1"/>
    <cellStyle name="Followed Hyperlink" xfId="1781" builtinId="9" hidden="1"/>
    <cellStyle name="Followed Hyperlink" xfId="1783" builtinId="9" hidden="1"/>
    <cellStyle name="Followed Hyperlink" xfId="1785" builtinId="9" hidden="1"/>
    <cellStyle name="Followed Hyperlink" xfId="1787" builtinId="9" hidden="1"/>
    <cellStyle name="Followed Hyperlink" xfId="1789" builtinId="9" hidden="1"/>
    <cellStyle name="Followed Hyperlink" xfId="1791" builtinId="9" hidden="1"/>
    <cellStyle name="Followed Hyperlink" xfId="1793" builtinId="9" hidden="1"/>
    <cellStyle name="Followed Hyperlink" xfId="1795"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Followed Hyperlink" xfId="1819" builtinId="9" hidden="1"/>
    <cellStyle name="Followed Hyperlink" xfId="1821" builtinId="9" hidden="1"/>
    <cellStyle name="Followed Hyperlink" xfId="1823" builtinId="9" hidden="1"/>
    <cellStyle name="Followed Hyperlink" xfId="1825" builtinId="9" hidden="1"/>
    <cellStyle name="Followed Hyperlink" xfId="1827" builtinId="9" hidden="1"/>
    <cellStyle name="Followed Hyperlink" xfId="1829" builtinId="9" hidden="1"/>
    <cellStyle name="Followed Hyperlink" xfId="1831" builtinId="9" hidden="1"/>
    <cellStyle name="Followed Hyperlink" xfId="1833" builtinId="9" hidden="1"/>
    <cellStyle name="Followed Hyperlink" xfId="1835" builtinId="9" hidden="1"/>
    <cellStyle name="Followed Hyperlink" xfId="1837"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3"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9"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3" builtinId="9" hidden="1"/>
    <cellStyle name="Followed Hyperlink" xfId="1945" builtinId="9" hidden="1"/>
    <cellStyle name="Followed Hyperlink" xfId="1947" builtinId="9" hidden="1"/>
    <cellStyle name="Followed Hyperlink" xfId="1949" builtinId="9" hidden="1"/>
    <cellStyle name="Followed Hyperlink" xfId="1951" builtinId="9" hidden="1"/>
    <cellStyle name="Followed Hyperlink" xfId="1953" builtinId="9" hidden="1"/>
    <cellStyle name="Followed Hyperlink" xfId="1955" builtinId="9" hidden="1"/>
    <cellStyle name="Followed Hyperlink" xfId="1957" builtinId="9" hidden="1"/>
    <cellStyle name="Followed Hyperlink" xfId="1959" builtinId="9" hidden="1"/>
    <cellStyle name="Followed Hyperlink" xfId="1961" builtinId="9" hidden="1"/>
    <cellStyle name="Followed Hyperlink" xfId="1963" builtinId="9" hidden="1"/>
    <cellStyle name="Followed Hyperlink" xfId="1965" builtinId="9" hidden="1"/>
    <cellStyle name="Followed Hyperlink" xfId="1967" builtinId="9" hidden="1"/>
    <cellStyle name="Followed Hyperlink" xfId="1969" builtinId="9" hidden="1"/>
    <cellStyle name="Followed Hyperlink" xfId="1971" builtinId="9" hidden="1"/>
    <cellStyle name="Followed Hyperlink" xfId="1973" builtinId="9" hidden="1"/>
    <cellStyle name="Followed Hyperlink" xfId="1975" builtinId="9" hidden="1"/>
    <cellStyle name="Followed Hyperlink" xfId="1977" builtinId="9" hidden="1"/>
    <cellStyle name="Followed Hyperlink" xfId="1979" builtinId="9" hidden="1"/>
    <cellStyle name="Followed Hyperlink" xfId="1981" builtinId="9" hidden="1"/>
    <cellStyle name="Followed Hyperlink" xfId="1983"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7"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xfId="1480" builtinId="8" hidden="1"/>
    <cellStyle name="Hyperlink" xfId="1482" builtinId="8" hidden="1"/>
    <cellStyle name="Hyperlink" xfId="1484" builtinId="8" hidden="1"/>
    <cellStyle name="Hyperlink" xfId="1486" builtinId="8" hidden="1"/>
    <cellStyle name="Hyperlink" xfId="1488" builtinId="8" hidden="1"/>
    <cellStyle name="Hyperlink" xfId="1490" builtinId="8" hidden="1"/>
    <cellStyle name="Hyperlink" xfId="1492" builtinId="8" hidden="1"/>
    <cellStyle name="Hyperlink" xfId="1494" builtinId="8" hidden="1"/>
    <cellStyle name="Hyperlink" xfId="1496" builtinId="8" hidden="1"/>
    <cellStyle name="Hyperlink" xfId="1498" builtinId="8" hidden="1"/>
    <cellStyle name="Hyperlink" xfId="1500" builtinId="8" hidden="1"/>
    <cellStyle name="Hyperlink" xfId="1502" builtinId="8" hidden="1"/>
    <cellStyle name="Hyperlink" xfId="1504" builtinId="8" hidden="1"/>
    <cellStyle name="Hyperlink" xfId="1506" builtinId="8" hidden="1"/>
    <cellStyle name="Hyperlink" xfId="1508" builtinId="8" hidden="1"/>
    <cellStyle name="Hyperlink" xfId="1510" builtinId="8" hidden="1"/>
    <cellStyle name="Hyperlink" xfId="1512" builtinId="8" hidden="1"/>
    <cellStyle name="Hyperlink" xfId="1514" builtinId="8" hidden="1"/>
    <cellStyle name="Hyperlink" xfId="1516"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640" builtinId="8" hidden="1"/>
    <cellStyle name="Hyperlink" xfId="1642" builtinId="8" hidden="1"/>
    <cellStyle name="Hyperlink" xfId="1644" builtinId="8" hidden="1"/>
    <cellStyle name="Hyperlink" xfId="1646" builtinId="8" hidden="1"/>
    <cellStyle name="Hyperlink" xfId="1648" builtinId="8" hidden="1"/>
    <cellStyle name="Hyperlink" xfId="1650" builtinId="8" hidden="1"/>
    <cellStyle name="Hyperlink" xfId="1652" builtinId="8" hidden="1"/>
    <cellStyle name="Hyperlink" xfId="1654" builtinId="8" hidden="1"/>
    <cellStyle name="Hyperlink" xfId="1656" builtinId="8" hidden="1"/>
    <cellStyle name="Hyperlink" xfId="1658" builtinId="8" hidden="1"/>
    <cellStyle name="Hyperlink" xfId="1660" builtinId="8" hidden="1"/>
    <cellStyle name="Hyperlink" xfId="1662" builtinId="8" hidden="1"/>
    <cellStyle name="Hyperlink" xfId="1664" builtinId="8" hidden="1"/>
    <cellStyle name="Hyperlink" xfId="1666" builtinId="8" hidden="1"/>
    <cellStyle name="Hyperlink" xfId="1668" builtinId="8" hidden="1"/>
    <cellStyle name="Hyperlink" xfId="1670" builtinId="8" hidden="1"/>
    <cellStyle name="Hyperlink" xfId="1672" builtinId="8" hidden="1"/>
    <cellStyle name="Hyperlink" xfId="1674" builtinId="8" hidden="1"/>
    <cellStyle name="Hyperlink" xfId="1676" builtinId="8" hidden="1"/>
    <cellStyle name="Hyperlink" xfId="1678" builtinId="8" hidden="1"/>
    <cellStyle name="Hyperlink" xfId="1680" builtinId="8" hidden="1"/>
    <cellStyle name="Hyperlink" xfId="1682" builtinId="8" hidden="1"/>
    <cellStyle name="Hyperlink" xfId="1684" builtinId="8" hidden="1"/>
    <cellStyle name="Hyperlink" xfId="1686" builtinId="8" hidden="1"/>
    <cellStyle name="Hyperlink" xfId="1688" builtinId="8" hidden="1"/>
    <cellStyle name="Hyperlink" xfId="1690" builtinId="8" hidden="1"/>
    <cellStyle name="Hyperlink" xfId="1692" builtinId="8" hidden="1"/>
    <cellStyle name="Hyperlink" xfId="1694" builtinId="8" hidden="1"/>
    <cellStyle name="Hyperlink" xfId="1696" builtinId="8" hidden="1"/>
    <cellStyle name="Hyperlink" xfId="1698" builtinId="8" hidden="1"/>
    <cellStyle name="Hyperlink" xfId="1700" builtinId="8" hidden="1"/>
    <cellStyle name="Hyperlink" xfId="1702" builtinId="8" hidden="1"/>
    <cellStyle name="Hyperlink" xfId="1704" builtinId="8" hidden="1"/>
    <cellStyle name="Hyperlink" xfId="1706" builtinId="8" hidden="1"/>
    <cellStyle name="Hyperlink" xfId="1708" builtinId="8" hidden="1"/>
    <cellStyle name="Hyperlink" xfId="1710" builtinId="8" hidden="1"/>
    <cellStyle name="Hyperlink" xfId="1712" builtinId="8" hidden="1"/>
    <cellStyle name="Hyperlink" xfId="1714" builtinId="8" hidden="1"/>
    <cellStyle name="Hyperlink" xfId="1716" builtinId="8" hidden="1"/>
    <cellStyle name="Hyperlink" xfId="1718" builtinId="8" hidden="1"/>
    <cellStyle name="Hyperlink" xfId="1720" builtinId="8" hidden="1"/>
    <cellStyle name="Hyperlink" xfId="1722" builtinId="8" hidden="1"/>
    <cellStyle name="Hyperlink" xfId="1724" builtinId="8" hidden="1"/>
    <cellStyle name="Hyperlink" xfId="1726" builtinId="8" hidden="1"/>
    <cellStyle name="Hyperlink" xfId="1728" builtinId="8" hidden="1"/>
    <cellStyle name="Hyperlink" xfId="1730" builtinId="8" hidden="1"/>
    <cellStyle name="Hyperlink" xfId="1732" builtinId="8" hidden="1"/>
    <cellStyle name="Hyperlink" xfId="1734" builtinId="8" hidden="1"/>
    <cellStyle name="Hyperlink" xfId="1736" builtinId="8" hidden="1"/>
    <cellStyle name="Hyperlink" xfId="1738" builtinId="8" hidden="1"/>
    <cellStyle name="Hyperlink" xfId="1740" builtinId="8" hidden="1"/>
    <cellStyle name="Hyperlink" xfId="1742" builtinId="8" hidden="1"/>
    <cellStyle name="Hyperlink" xfId="1744" builtinId="8" hidden="1"/>
    <cellStyle name="Hyperlink" xfId="1746" builtinId="8" hidden="1"/>
    <cellStyle name="Hyperlink" xfId="1748" builtinId="8" hidden="1"/>
    <cellStyle name="Hyperlink" xfId="1750" builtinId="8" hidden="1"/>
    <cellStyle name="Hyperlink" xfId="1752" builtinId="8" hidden="1"/>
    <cellStyle name="Hyperlink" xfId="1754" builtinId="8" hidden="1"/>
    <cellStyle name="Hyperlink" xfId="1756" builtinId="8" hidden="1"/>
    <cellStyle name="Hyperlink" xfId="1758" builtinId="8" hidden="1"/>
    <cellStyle name="Hyperlink" xfId="1760" builtinId="8" hidden="1"/>
    <cellStyle name="Hyperlink" xfId="1762" builtinId="8" hidden="1"/>
    <cellStyle name="Hyperlink" xfId="1764" builtinId="8" hidden="1"/>
    <cellStyle name="Hyperlink" xfId="1766" builtinId="8" hidden="1"/>
    <cellStyle name="Hyperlink" xfId="1768" builtinId="8" hidden="1"/>
    <cellStyle name="Hyperlink" xfId="1770" builtinId="8" hidden="1"/>
    <cellStyle name="Hyperlink" xfId="1772" builtinId="8" hidden="1"/>
    <cellStyle name="Hyperlink" xfId="1774" builtinId="8" hidden="1"/>
    <cellStyle name="Hyperlink" xfId="1776" builtinId="8" hidden="1"/>
    <cellStyle name="Hyperlink" xfId="1778" builtinId="8" hidden="1"/>
    <cellStyle name="Hyperlink" xfId="1780" builtinId="8" hidden="1"/>
    <cellStyle name="Hyperlink" xfId="1782" builtinId="8" hidden="1"/>
    <cellStyle name="Hyperlink" xfId="1784" builtinId="8" hidden="1"/>
    <cellStyle name="Hyperlink" xfId="1786" builtinId="8" hidden="1"/>
    <cellStyle name="Hyperlink" xfId="1788" builtinId="8" hidden="1"/>
    <cellStyle name="Hyperlink" xfId="1790" builtinId="8" hidden="1"/>
    <cellStyle name="Hyperlink" xfId="1792" builtinId="8" hidden="1"/>
    <cellStyle name="Hyperlink" xfId="1794" builtinId="8" hidden="1"/>
    <cellStyle name="Hyperlink" xfId="1796"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4" builtinId="8" hidden="1"/>
    <cellStyle name="Hyperlink" xfId="1816" builtinId="8" hidden="1"/>
    <cellStyle name="Hyperlink" xfId="1818" builtinId="8" hidden="1"/>
    <cellStyle name="Hyperlink" xfId="1820" builtinId="8" hidden="1"/>
    <cellStyle name="Hyperlink" xfId="1822" builtinId="8" hidden="1"/>
    <cellStyle name="Hyperlink" xfId="1824" builtinId="8" hidden="1"/>
    <cellStyle name="Hyperlink" xfId="1826" builtinId="8" hidden="1"/>
    <cellStyle name="Hyperlink" xfId="1828" builtinId="8" hidden="1"/>
    <cellStyle name="Hyperlink" xfId="1830" builtinId="8" hidden="1"/>
    <cellStyle name="Hyperlink" xfId="1832" builtinId="8" hidden="1"/>
    <cellStyle name="Hyperlink" xfId="1834" builtinId="8" hidden="1"/>
    <cellStyle name="Hyperlink" xfId="1836" builtinId="8" hidden="1"/>
    <cellStyle name="Hyperlink" xfId="1838" builtinId="8" hidden="1"/>
    <cellStyle name="Hyperlink" xfId="1840" builtinId="8" hidden="1"/>
    <cellStyle name="Hyperlink" xfId="1842" builtinId="8" hidden="1"/>
    <cellStyle name="Hyperlink" xfId="1844" builtinId="8" hidden="1"/>
    <cellStyle name="Hyperlink" xfId="1846" builtinId="8" hidden="1"/>
    <cellStyle name="Hyperlink" xfId="1848" builtinId="8" hidden="1"/>
    <cellStyle name="Hyperlink" xfId="1850" builtinId="8" hidden="1"/>
    <cellStyle name="Hyperlink" xfId="1852" builtinId="8" hidden="1"/>
    <cellStyle name="Hyperlink" xfId="1854" builtinId="8" hidden="1"/>
    <cellStyle name="Hyperlink" xfId="1856" builtinId="8" hidden="1"/>
    <cellStyle name="Hyperlink" xfId="1858" builtinId="8" hidden="1"/>
    <cellStyle name="Hyperlink" xfId="1860" builtinId="8" hidden="1"/>
    <cellStyle name="Hyperlink" xfId="1862" builtinId="8" hidden="1"/>
    <cellStyle name="Hyperlink" xfId="1864" builtinId="8" hidden="1"/>
    <cellStyle name="Hyperlink" xfId="1866" builtinId="8" hidden="1"/>
    <cellStyle name="Hyperlink" xfId="1868" builtinId="8" hidden="1"/>
    <cellStyle name="Hyperlink" xfId="1870" builtinId="8" hidden="1"/>
    <cellStyle name="Hyperlink" xfId="1872" builtinId="8" hidden="1"/>
    <cellStyle name="Hyperlink" xfId="1874" builtinId="8" hidden="1"/>
    <cellStyle name="Hyperlink" xfId="1876" builtinId="8" hidden="1"/>
    <cellStyle name="Hyperlink" xfId="1878" builtinId="8" hidden="1"/>
    <cellStyle name="Hyperlink" xfId="1880" builtinId="8" hidden="1"/>
    <cellStyle name="Hyperlink" xfId="1882" builtinId="8" hidden="1"/>
    <cellStyle name="Hyperlink" xfId="1884" builtinId="8" hidden="1"/>
    <cellStyle name="Hyperlink" xfId="1886" builtinId="8" hidden="1"/>
    <cellStyle name="Hyperlink" xfId="1888" builtinId="8" hidden="1"/>
    <cellStyle name="Hyperlink" xfId="1890" builtinId="8" hidden="1"/>
    <cellStyle name="Hyperlink" xfId="1892" builtinId="8" hidden="1"/>
    <cellStyle name="Hyperlink" xfId="1894" builtinId="8" hidden="1"/>
    <cellStyle name="Hyperlink" xfId="1896" builtinId="8" hidden="1"/>
    <cellStyle name="Hyperlink" xfId="1898" builtinId="8" hidden="1"/>
    <cellStyle name="Hyperlink" xfId="1900" builtinId="8" hidden="1"/>
    <cellStyle name="Hyperlink" xfId="1902" builtinId="8" hidden="1"/>
    <cellStyle name="Hyperlink" xfId="1904" builtinId="8" hidden="1"/>
    <cellStyle name="Hyperlink" xfId="1906" builtinId="8" hidden="1"/>
    <cellStyle name="Hyperlink" xfId="1908" builtinId="8" hidden="1"/>
    <cellStyle name="Hyperlink" xfId="1910" builtinId="8" hidden="1"/>
    <cellStyle name="Hyperlink" xfId="1912" builtinId="8" hidden="1"/>
    <cellStyle name="Hyperlink" xfId="1914" builtinId="8" hidden="1"/>
    <cellStyle name="Hyperlink" xfId="1916" builtinId="8" hidden="1"/>
    <cellStyle name="Hyperlink" xfId="1918" builtinId="8" hidden="1"/>
    <cellStyle name="Hyperlink" xfId="1920" builtinId="8" hidden="1"/>
    <cellStyle name="Hyperlink" xfId="1922" builtinId="8" hidden="1"/>
    <cellStyle name="Hyperlink" xfId="1924" builtinId="8" hidden="1"/>
    <cellStyle name="Hyperlink" xfId="1926" builtinId="8" hidden="1"/>
    <cellStyle name="Hyperlink" xfId="1928" builtinId="8" hidden="1"/>
    <cellStyle name="Hyperlink" xfId="1930" builtinId="8" hidden="1"/>
    <cellStyle name="Hyperlink" xfId="1932" builtinId="8" hidden="1"/>
    <cellStyle name="Hyperlink" xfId="1934" builtinId="8" hidden="1"/>
    <cellStyle name="Hyperlink" xfId="1936" builtinId="8" hidden="1"/>
    <cellStyle name="Hyperlink" xfId="1938" builtinId="8" hidden="1"/>
    <cellStyle name="Hyperlink" xfId="1940" builtinId="8" hidden="1"/>
    <cellStyle name="Hyperlink" xfId="1942" builtinId="8" hidden="1"/>
    <cellStyle name="Hyperlink" xfId="1944" builtinId="8" hidden="1"/>
    <cellStyle name="Hyperlink" xfId="1946" builtinId="8" hidden="1"/>
    <cellStyle name="Hyperlink" xfId="1948" builtinId="8" hidden="1"/>
    <cellStyle name="Hyperlink" xfId="1950" builtinId="8" hidden="1"/>
    <cellStyle name="Hyperlink" xfId="1952" builtinId="8" hidden="1"/>
    <cellStyle name="Hyperlink" xfId="1954" builtinId="8" hidden="1"/>
    <cellStyle name="Hyperlink" xfId="1956" builtinId="8" hidden="1"/>
    <cellStyle name="Hyperlink" xfId="1958" builtinId="8" hidden="1"/>
    <cellStyle name="Hyperlink" xfId="1960" builtinId="8" hidden="1"/>
    <cellStyle name="Hyperlink" xfId="1962" builtinId="8" hidden="1"/>
    <cellStyle name="Hyperlink" xfId="1964" builtinId="8" hidden="1"/>
    <cellStyle name="Hyperlink" xfId="1966" builtinId="8" hidden="1"/>
    <cellStyle name="Hyperlink" xfId="1968" builtinId="8" hidden="1"/>
    <cellStyle name="Hyperlink" xfId="1970" builtinId="8" hidden="1"/>
    <cellStyle name="Hyperlink" xfId="1972" builtinId="8" hidden="1"/>
    <cellStyle name="Hyperlink" xfId="1974" builtinId="8" hidden="1"/>
    <cellStyle name="Hyperlink" xfId="1976" builtinId="8" hidden="1"/>
    <cellStyle name="Hyperlink" xfId="1978" builtinId="8" hidden="1"/>
    <cellStyle name="Hyperlink" xfId="1980" builtinId="8" hidden="1"/>
    <cellStyle name="Hyperlink" xfId="1982" builtinId="8" hidden="1"/>
    <cellStyle name="Hyperlink" xfId="1984" builtinId="8" hidden="1"/>
    <cellStyle name="Hyperlink" xfId="1986" builtinId="8" hidden="1"/>
    <cellStyle name="Hyperlink" xfId="1988" builtinId="8" hidden="1"/>
    <cellStyle name="Hyperlink" xfId="1990" builtinId="8" hidden="1"/>
    <cellStyle name="Hyperlink" xfId="1992" builtinId="8" hidden="1"/>
    <cellStyle name="Hyperlink" xfId="1994" builtinId="8" hidden="1"/>
    <cellStyle name="Hyperlink" xfId="1996" builtinId="8" hidden="1"/>
    <cellStyle name="Hyperlink" xfId="1998" builtinId="8" hidden="1"/>
    <cellStyle name="Hyperlink" xfId="2000" builtinId="8" hidden="1"/>
    <cellStyle name="Hyperlink" xfId="2002" builtinId="8" hidden="1"/>
    <cellStyle name="Hyperlink" xfId="2004" builtinId="8" hidden="1"/>
    <cellStyle name="Hyperlink" xfId="2006" builtinId="8" hidden="1"/>
    <cellStyle name="Hyperlink" xfId="2008" builtinId="8" hidden="1"/>
    <cellStyle name="Hyperlink" xfId="2010" builtinId="8" hidden="1"/>
    <cellStyle name="Hyperlink" xfId="2012" builtinId="8" hidden="1"/>
    <cellStyle name="Hyperlink" xfId="2014" builtinId="8" hidden="1"/>
    <cellStyle name="Hyperlink" xfId="2016" builtinId="8" hidden="1"/>
    <cellStyle name="Hyperlink" xfId="2018" builtinId="8" hidden="1"/>
    <cellStyle name="Hyperlink" xfId="2020" builtinId="8" hidden="1"/>
    <cellStyle name="Hyperlink" xfId="2022" builtinId="8" hidden="1"/>
    <cellStyle name="Hyperlink" xfId="2024" builtinId="8" hidden="1"/>
    <cellStyle name="Hyperlink" xfId="2026" builtinId="8" hidden="1"/>
    <cellStyle name="Hyperlink" xfId="2028"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Hyperlink" xfId="2046" builtinId="8" hidden="1"/>
    <cellStyle name="Hyperlink" xfId="2048" builtinId="8" hidden="1"/>
    <cellStyle name="Hyperlink" xfId="2050" builtinId="8" hidden="1"/>
    <cellStyle name="Hyperlink" xfId="2052" builtinId="8" hidden="1"/>
    <cellStyle name="Hyperlink" xfId="2054" builtinId="8" hidden="1"/>
    <cellStyle name="Hyperlink" xfId="2056" builtinId="8" hidden="1"/>
    <cellStyle name="Hyperlink" xfId="2058" builtinId="8" hidden="1"/>
    <cellStyle name="Hyperlink" xfId="2060" builtinId="8" hidden="1"/>
    <cellStyle name="Hyperlink" xfId="2062" builtinId="8" hidden="1"/>
    <cellStyle name="Hyperlink" xfId="2064" builtinId="8" hidden="1"/>
    <cellStyle name="Hyperlink" xfId="2066" builtinId="8" hidden="1"/>
    <cellStyle name="Hyperlink" xfId="2068" builtinId="8" hidden="1"/>
    <cellStyle name="Hyperlink" xfId="2070" builtinId="8" hidden="1"/>
    <cellStyle name="Hyperlink" xfId="2072" builtinId="8" hidden="1"/>
    <cellStyle name="Hyperlink" xfId="2074" builtinId="8" hidden="1"/>
    <cellStyle name="Hyperlink" xfId="2076" builtinId="8" hidden="1"/>
    <cellStyle name="Hyperlink" xfId="2078" builtinId="8" hidden="1"/>
    <cellStyle name="Hyperlink" xfId="2080" builtinId="8" hidden="1"/>
    <cellStyle name="Hyperlink" xfId="2082" builtinId="8" hidden="1"/>
    <cellStyle name="Hyperlink" xfId="2084" builtinId="8" hidden="1"/>
    <cellStyle name="Hyperlink" xfId="2086"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Normal" xfId="0" builtinId="0"/>
    <cellStyle name="Normal 2" xfId="208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B21"/>
  <sheetViews>
    <sheetView tabSelected="1" workbookViewId="0">
      <selection activeCell="A20" sqref="A20"/>
    </sheetView>
  </sheetViews>
  <sheetFormatPr defaultColWidth="11.19921875" defaultRowHeight="15.6"/>
  <sheetData>
    <row r="1" spans="1:2">
      <c r="A1" s="22" t="s">
        <v>1536</v>
      </c>
    </row>
    <row r="2" spans="1:2">
      <c r="A2" s="20"/>
    </row>
    <row r="3" spans="1:2">
      <c r="A3" s="8" t="s">
        <v>1537</v>
      </c>
    </row>
    <row r="4" spans="1:2">
      <c r="A4" s="8" t="s">
        <v>1538</v>
      </c>
    </row>
    <row r="5" spans="1:2">
      <c r="A5" s="21" t="s">
        <v>1539</v>
      </c>
    </row>
    <row r="6" spans="1:2">
      <c r="A6" s="21" t="s">
        <v>1540</v>
      </c>
    </row>
    <row r="7" spans="1:2">
      <c r="A7" s="21" t="s">
        <v>1614</v>
      </c>
    </row>
    <row r="8" spans="1:2">
      <c r="A8" s="21" t="s">
        <v>1615</v>
      </c>
    </row>
    <row r="9" spans="1:2">
      <c r="A9" s="8" t="s">
        <v>1541</v>
      </c>
    </row>
    <row r="10" spans="1:2">
      <c r="A10" s="8" t="s">
        <v>1542</v>
      </c>
    </row>
    <row r="12" spans="1:2">
      <c r="A12" s="19"/>
      <c r="B12" t="s">
        <v>1543</v>
      </c>
    </row>
    <row r="13" spans="1:2">
      <c r="A13" s="4"/>
      <c r="B13" t="s">
        <v>1606</v>
      </c>
    </row>
    <row r="14" spans="1:2">
      <c r="A14" s="10"/>
      <c r="B14" t="s">
        <v>1544</v>
      </c>
    </row>
    <row r="16" spans="1:2">
      <c r="A16" s="1" t="s">
        <v>1547</v>
      </c>
    </row>
    <row r="17" spans="1:1">
      <c r="A17" t="s">
        <v>1607</v>
      </c>
    </row>
    <row r="18" spans="1:1">
      <c r="A18" t="s">
        <v>1608</v>
      </c>
    </row>
    <row r="19" spans="1:1">
      <c r="A19" t="s">
        <v>1610</v>
      </c>
    </row>
    <row r="20" spans="1:1">
      <c r="A20" t="s">
        <v>1616</v>
      </c>
    </row>
    <row r="21" spans="1:1">
      <c r="A21" t="s">
        <v>1609</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AD446"/>
  <sheetViews>
    <sheetView zoomScale="125" zoomScaleNormal="125" zoomScalePageLayoutView="125" workbookViewId="0">
      <pane ySplit="1" topLeftCell="A2" activePane="bottomLeft" state="frozen"/>
      <selection activeCell="D1" sqref="D1"/>
      <selection pane="bottomLeft" activeCell="B1" sqref="B1"/>
    </sheetView>
  </sheetViews>
  <sheetFormatPr defaultColWidth="11.19921875" defaultRowHeight="15.6"/>
  <cols>
    <col min="1" max="1" width="11.19921875" style="5"/>
    <col min="2" max="2" width="22.796875" style="5" customWidth="1"/>
    <col min="3" max="3" width="9.296875" style="5" customWidth="1"/>
    <col min="4" max="4" width="11.69921875" style="5" customWidth="1"/>
    <col min="5" max="6" width="12.5" style="6" customWidth="1"/>
    <col min="7" max="7" width="14.796875" style="6" customWidth="1"/>
    <col min="8" max="8" width="20.296875" style="6" customWidth="1"/>
    <col min="9" max="9" width="14.296875" style="6" customWidth="1"/>
    <col min="10" max="10" width="14.796875" style="6" customWidth="1"/>
    <col min="11" max="12" width="14.5" style="6" customWidth="1"/>
    <col min="13" max="13" width="15.19921875" customWidth="1"/>
    <col min="14" max="14" width="17.5" style="5" customWidth="1"/>
    <col min="15" max="15" width="17.19921875" style="6" customWidth="1"/>
    <col min="16" max="16" width="13" style="5" customWidth="1"/>
    <col min="17" max="17" width="14.5" style="5" customWidth="1"/>
    <col min="18" max="18" width="12" style="5" customWidth="1"/>
    <col min="19" max="20" width="13" style="5" customWidth="1"/>
    <col min="21" max="21" width="12.296875" style="5" customWidth="1"/>
    <col min="22" max="22" width="12" style="5" customWidth="1"/>
    <col min="23" max="23" width="13.19921875" style="5" customWidth="1"/>
    <col min="24" max="24" width="12.796875" style="5" customWidth="1"/>
    <col min="25" max="25" width="12" style="5" bestFit="1" customWidth="1"/>
    <col min="26" max="26" width="17" style="5" bestFit="1" customWidth="1"/>
    <col min="27" max="30" width="11.19921875" style="5"/>
  </cols>
  <sheetData>
    <row r="1" spans="1:30">
      <c r="A1" s="62" t="s">
        <v>0</v>
      </c>
      <c r="B1" s="62" t="s">
        <v>1436</v>
      </c>
      <c r="C1" s="62" t="s">
        <v>1</v>
      </c>
      <c r="D1" s="62" t="s">
        <v>2</v>
      </c>
      <c r="E1" s="57" t="s">
        <v>3</v>
      </c>
      <c r="F1" s="57" t="s">
        <v>4</v>
      </c>
      <c r="G1" s="57" t="s">
        <v>5</v>
      </c>
      <c r="H1" s="57" t="s">
        <v>57</v>
      </c>
      <c r="I1" s="57" t="s">
        <v>7</v>
      </c>
      <c r="J1" s="57" t="s">
        <v>6</v>
      </c>
      <c r="K1" s="57" t="s">
        <v>58</v>
      </c>
      <c r="L1" s="57" t="s">
        <v>8</v>
      </c>
      <c r="M1" s="1" t="s">
        <v>9</v>
      </c>
      <c r="N1" s="57" t="s">
        <v>1433</v>
      </c>
      <c r="O1" s="57" t="s">
        <v>1547</v>
      </c>
      <c r="P1" s="57" t="s">
        <v>1507</v>
      </c>
      <c r="Q1" s="57" t="s">
        <v>1508</v>
      </c>
      <c r="R1" s="57" t="s">
        <v>1509</v>
      </c>
      <c r="S1" s="57" t="s">
        <v>1510</v>
      </c>
      <c r="T1" s="57" t="s">
        <v>1532</v>
      </c>
      <c r="U1" s="57" t="s">
        <v>1512</v>
      </c>
      <c r="V1" s="57" t="s">
        <v>1515</v>
      </c>
      <c r="W1" s="57" t="s">
        <v>1514</v>
      </c>
      <c r="X1" s="57" t="s">
        <v>1513</v>
      </c>
      <c r="Y1" s="57" t="s">
        <v>1516</v>
      </c>
      <c r="Z1" s="57" t="s">
        <v>1578</v>
      </c>
    </row>
    <row r="2" spans="1:30">
      <c r="G2" s="6">
        <f>SUM(G3:G446)</f>
        <v>11638580785</v>
      </c>
      <c r="H2" s="6">
        <f>SUM(H3:H446)</f>
        <v>11068315170.755554</v>
      </c>
      <c r="I2" s="6">
        <f>SUM(I3:I450)</f>
        <v>-570265614.24444449</v>
      </c>
      <c r="J2" s="6">
        <f t="shared" ref="J2:K2" si="0">SUM(J3:J446)</f>
        <v>11862715032</v>
      </c>
      <c r="K2" s="6">
        <f t="shared" si="0"/>
        <v>11180572406.852488</v>
      </c>
      <c r="L2" s="6">
        <f>SUM(L3:L450)</f>
        <v>-682142625.14750504</v>
      </c>
      <c r="M2" s="2">
        <f>I2+L2</f>
        <v>-1252408239.3919497</v>
      </c>
      <c r="N2" s="6">
        <f>SUM(P2:Y2)</f>
        <v>-1252408239.3919499</v>
      </c>
      <c r="O2" s="6">
        <f>SUM(O3:O450)</f>
        <v>88351913.659999996</v>
      </c>
      <c r="P2" s="6">
        <f>SUM(P3:P450)</f>
        <v>-302572995.10395014</v>
      </c>
      <c r="Q2" s="6">
        <f t="shared" ref="Q2:Y2" si="1">SUM(Q3:Q450)</f>
        <v>-1084222583</v>
      </c>
      <c r="R2" s="6">
        <f t="shared" si="1"/>
        <v>-38423731.729600005</v>
      </c>
      <c r="S2" s="6">
        <f t="shared" si="1"/>
        <v>-77997904</v>
      </c>
      <c r="T2" s="6">
        <f t="shared" si="1"/>
        <v>609200000</v>
      </c>
      <c r="U2" s="6">
        <f t="shared" si="1"/>
        <v>-46132822.558399931</v>
      </c>
      <c r="V2" s="6">
        <f t="shared" si="1"/>
        <v>-14588545</v>
      </c>
      <c r="W2" s="6">
        <f t="shared" si="1"/>
        <v>-109532895</v>
      </c>
      <c r="X2" s="6">
        <f t="shared" si="1"/>
        <v>-109176323</v>
      </c>
      <c r="Y2" s="6">
        <f t="shared" si="1"/>
        <v>-78960440</v>
      </c>
      <c r="Z2" s="58">
        <f>SUM(P2:S2)+SUM(U2:Y2)</f>
        <v>-1861608239.3919499</v>
      </c>
    </row>
    <row r="3" spans="1:30">
      <c r="A3" s="5" t="s">
        <v>48</v>
      </c>
      <c r="B3" s="5" t="s">
        <v>49</v>
      </c>
      <c r="C3" s="5" t="s">
        <v>83</v>
      </c>
      <c r="D3" s="5" t="s">
        <v>50</v>
      </c>
      <c r="E3" s="6">
        <v>1983801</v>
      </c>
      <c r="F3" s="6">
        <v>2000945</v>
      </c>
      <c r="G3" s="6">
        <v>2365809</v>
      </c>
      <c r="H3" s="6">
        <f>F3*1.06</f>
        <v>2121001.7000000002</v>
      </c>
      <c r="I3" s="6">
        <f>H3-G3</f>
        <v>-244807.29999999981</v>
      </c>
      <c r="J3" s="6">
        <v>2377115</v>
      </c>
      <c r="K3" s="6">
        <f>H3*1.02</f>
        <v>2163421.7340000002</v>
      </c>
      <c r="L3" s="6">
        <f>K3-J3</f>
        <v>-213693.26599999983</v>
      </c>
      <c r="M3" t="s">
        <v>1444</v>
      </c>
      <c r="P3" s="6">
        <f>I3+L3</f>
        <v>-458500.56599999964</v>
      </c>
      <c r="W3" s="6"/>
    </row>
    <row r="4" spans="1:30">
      <c r="A4" s="5" t="s">
        <v>48</v>
      </c>
      <c r="B4" s="5" t="s">
        <v>51</v>
      </c>
      <c r="C4" s="5" t="s">
        <v>52</v>
      </c>
      <c r="D4" s="5" t="s">
        <v>53</v>
      </c>
      <c r="G4" s="6">
        <v>337812</v>
      </c>
      <c r="H4" s="6">
        <v>316050</v>
      </c>
      <c r="I4" s="6">
        <f t="shared" ref="I4:I68" si="2">H4-G4</f>
        <v>-21762</v>
      </c>
      <c r="J4" s="6">
        <v>382403</v>
      </c>
      <c r="K4" s="6">
        <f>H4*1.02</f>
        <v>322371</v>
      </c>
      <c r="L4" s="6">
        <f t="shared" ref="L4:L68" si="3">K4-J4</f>
        <v>-60032</v>
      </c>
      <c r="M4" t="s">
        <v>1599</v>
      </c>
      <c r="P4" s="6">
        <f>L4</f>
        <v>-60032</v>
      </c>
      <c r="R4" s="6">
        <f>I4</f>
        <v>-21762</v>
      </c>
    </row>
    <row r="5" spans="1:30">
      <c r="A5" s="5" t="s">
        <v>48</v>
      </c>
      <c r="B5" s="5" t="s">
        <v>54</v>
      </c>
      <c r="C5" s="5" t="s">
        <v>55</v>
      </c>
      <c r="D5" s="5" t="s">
        <v>56</v>
      </c>
      <c r="G5" s="6">
        <v>259433</v>
      </c>
      <c r="H5" s="6">
        <v>259433</v>
      </c>
      <c r="I5" s="6">
        <f t="shared" si="2"/>
        <v>0</v>
      </c>
      <c r="J5" s="6">
        <v>259433</v>
      </c>
      <c r="K5" s="6">
        <v>259433</v>
      </c>
      <c r="L5" s="6">
        <f t="shared" si="3"/>
        <v>0</v>
      </c>
    </row>
    <row r="6" spans="1:30">
      <c r="A6" s="5" t="s">
        <v>48</v>
      </c>
      <c r="B6" s="5" t="s">
        <v>59</v>
      </c>
      <c r="C6" s="5" t="s">
        <v>60</v>
      </c>
      <c r="D6" s="5" t="s">
        <v>61</v>
      </c>
      <c r="G6" s="6">
        <v>1612813</v>
      </c>
      <c r="H6" s="6">
        <v>0</v>
      </c>
      <c r="I6" s="6">
        <f t="shared" si="2"/>
        <v>-1612813</v>
      </c>
      <c r="J6" s="6">
        <v>1694404</v>
      </c>
      <c r="K6" s="6">
        <v>0</v>
      </c>
      <c r="L6" s="6">
        <f t="shared" si="3"/>
        <v>-1694404</v>
      </c>
      <c r="M6" s="4" t="s">
        <v>510</v>
      </c>
      <c r="W6" s="6">
        <f>I6+L6</f>
        <v>-3307217</v>
      </c>
    </row>
    <row r="7" spans="1:30">
      <c r="A7" s="5" t="s">
        <v>48</v>
      </c>
      <c r="B7" s="5" t="s">
        <v>62</v>
      </c>
      <c r="C7" s="5" t="s">
        <v>63</v>
      </c>
      <c r="D7" s="5" t="s">
        <v>64</v>
      </c>
      <c r="G7" s="6">
        <v>10473910</v>
      </c>
      <c r="H7" s="6">
        <v>0</v>
      </c>
      <c r="I7" s="6">
        <f t="shared" si="2"/>
        <v>-10473910</v>
      </c>
      <c r="J7" s="6">
        <v>11194548</v>
      </c>
      <c r="K7" s="6">
        <v>0</v>
      </c>
      <c r="L7" s="6">
        <f t="shared" si="3"/>
        <v>-11194548</v>
      </c>
      <c r="M7" s="4" t="s">
        <v>1548</v>
      </c>
      <c r="O7" s="6">
        <f>1139854+1274605+6234056</f>
        <v>8648515</v>
      </c>
      <c r="W7" s="6">
        <f>I7+L7</f>
        <v>-21668458</v>
      </c>
    </row>
    <row r="8" spans="1:30">
      <c r="A8" s="5" t="s">
        <v>48</v>
      </c>
      <c r="B8" s="5" t="s">
        <v>65</v>
      </c>
      <c r="C8" s="5" t="s">
        <v>66</v>
      </c>
      <c r="D8" s="5" t="s">
        <v>67</v>
      </c>
      <c r="G8" s="6">
        <v>1583126</v>
      </c>
      <c r="H8" s="6">
        <v>0</v>
      </c>
      <c r="I8" s="6">
        <f t="shared" si="2"/>
        <v>-1583126</v>
      </c>
      <c r="J8" s="6">
        <v>682451</v>
      </c>
      <c r="K8" s="6">
        <v>0</v>
      </c>
      <c r="L8" s="6">
        <f t="shared" si="3"/>
        <v>-682451</v>
      </c>
      <c r="M8" s="4" t="s">
        <v>509</v>
      </c>
      <c r="O8" s="6">
        <v>446842</v>
      </c>
      <c r="T8" s="6"/>
      <c r="X8" s="6">
        <f>I8+L8</f>
        <v>-2265577</v>
      </c>
    </row>
    <row r="9" spans="1:30">
      <c r="A9" s="5" t="s">
        <v>48</v>
      </c>
      <c r="B9" s="5" t="s">
        <v>68</v>
      </c>
      <c r="C9" s="5" t="s">
        <v>69</v>
      </c>
      <c r="D9" s="5" t="s">
        <v>70</v>
      </c>
      <c r="G9" s="6">
        <v>2000000</v>
      </c>
      <c r="H9" s="6">
        <v>0</v>
      </c>
      <c r="I9" s="6">
        <f t="shared" si="2"/>
        <v>-2000000</v>
      </c>
      <c r="J9" s="6">
        <v>3000000</v>
      </c>
      <c r="K9" s="6">
        <v>0</v>
      </c>
      <c r="L9" s="6">
        <f t="shared" si="3"/>
        <v>-3000000</v>
      </c>
      <c r="M9" t="s">
        <v>509</v>
      </c>
      <c r="S9" s="6">
        <f>I9+L9</f>
        <v>-5000000</v>
      </c>
      <c r="T9" s="6"/>
    </row>
    <row r="10" spans="1:30">
      <c r="A10" s="5" t="s">
        <v>48</v>
      </c>
      <c r="B10" s="5" t="s">
        <v>71</v>
      </c>
      <c r="C10" s="5" t="s">
        <v>72</v>
      </c>
      <c r="D10" s="5" t="s">
        <v>76</v>
      </c>
      <c r="E10" s="6">
        <v>1267846</v>
      </c>
      <c r="F10" s="6">
        <v>1267118</v>
      </c>
      <c r="G10" s="6">
        <v>1912537</v>
      </c>
      <c r="H10" s="6">
        <v>541404</v>
      </c>
      <c r="I10" s="6">
        <f t="shared" si="2"/>
        <v>-1371133</v>
      </c>
      <c r="J10" s="6">
        <v>1951182</v>
      </c>
      <c r="K10" s="6">
        <v>541404</v>
      </c>
      <c r="L10" s="6">
        <f t="shared" si="3"/>
        <v>-1409778</v>
      </c>
      <c r="M10" t="s">
        <v>1549</v>
      </c>
      <c r="Q10" s="6">
        <f>I10+L10</f>
        <v>-2780911</v>
      </c>
    </row>
    <row r="11" spans="1:30">
      <c r="A11" s="5" t="s">
        <v>48</v>
      </c>
      <c r="B11" s="5" t="s">
        <v>73</v>
      </c>
      <c r="C11" s="5" t="s">
        <v>74</v>
      </c>
      <c r="D11" s="5" t="s">
        <v>75</v>
      </c>
      <c r="G11" s="6">
        <v>3707772</v>
      </c>
      <c r="H11" s="6">
        <v>3707772</v>
      </c>
      <c r="I11" s="6">
        <f t="shared" si="2"/>
        <v>0</v>
      </c>
      <c r="J11" s="6">
        <v>4151623</v>
      </c>
      <c r="K11" s="6">
        <f>H11*1.02</f>
        <v>3781927.44</v>
      </c>
      <c r="L11" s="6">
        <f t="shared" si="3"/>
        <v>-369695.56000000006</v>
      </c>
      <c r="M11" t="s">
        <v>1453</v>
      </c>
      <c r="P11" s="6">
        <f>I11+L11</f>
        <v>-369695.56000000006</v>
      </c>
    </row>
    <row r="12" spans="1:30">
      <c r="A12" s="5" t="s">
        <v>48</v>
      </c>
      <c r="B12" s="5" t="s">
        <v>77</v>
      </c>
      <c r="C12" s="5" t="s">
        <v>78</v>
      </c>
      <c r="D12" s="5" t="s">
        <v>79</v>
      </c>
      <c r="G12" s="6">
        <v>1472540</v>
      </c>
      <c r="H12" s="6">
        <v>1331623</v>
      </c>
      <c r="I12" s="6">
        <f t="shared" si="2"/>
        <v>-140917</v>
      </c>
      <c r="J12" s="6">
        <v>1529008</v>
      </c>
      <c r="K12" s="6">
        <v>1364680</v>
      </c>
      <c r="L12" s="6">
        <f t="shared" si="3"/>
        <v>-164328</v>
      </c>
      <c r="M12" t="s">
        <v>129</v>
      </c>
      <c r="R12" s="6">
        <f>I12+L12</f>
        <v>-305245</v>
      </c>
    </row>
    <row r="13" spans="1:30">
      <c r="A13" s="5" t="s">
        <v>48</v>
      </c>
      <c r="B13" s="5" t="s">
        <v>80</v>
      </c>
      <c r="C13" s="5" t="s">
        <v>81</v>
      </c>
      <c r="D13" s="5" t="s">
        <v>82</v>
      </c>
      <c r="E13" s="6">
        <v>462568</v>
      </c>
      <c r="F13" s="6">
        <v>495045</v>
      </c>
      <c r="G13" s="6">
        <v>552817</v>
      </c>
      <c r="H13" s="6">
        <v>502763</v>
      </c>
      <c r="I13" s="6">
        <f t="shared" si="2"/>
        <v>-50054</v>
      </c>
      <c r="J13" s="6">
        <v>587758</v>
      </c>
      <c r="K13" s="6">
        <f>H13*1.02</f>
        <v>512818.26</v>
      </c>
      <c r="L13" s="6">
        <f t="shared" si="3"/>
        <v>-74939.739999999991</v>
      </c>
      <c r="M13" t="s">
        <v>1600</v>
      </c>
      <c r="R13" s="6">
        <f>I13+L13</f>
        <v>-124993.73999999999</v>
      </c>
    </row>
    <row r="14" spans="1:30">
      <c r="A14" s="5" t="s">
        <v>48</v>
      </c>
      <c r="B14" s="5" t="s">
        <v>86</v>
      </c>
      <c r="C14" s="5" t="s">
        <v>84</v>
      </c>
      <c r="D14" s="5" t="s">
        <v>85</v>
      </c>
      <c r="G14" s="6">
        <v>679105</v>
      </c>
      <c r="H14" s="6">
        <v>679105</v>
      </c>
      <c r="I14" s="6">
        <f t="shared" si="2"/>
        <v>0</v>
      </c>
      <c r="J14" s="6">
        <v>674389</v>
      </c>
      <c r="K14" s="6">
        <v>674389</v>
      </c>
      <c r="L14" s="6">
        <f t="shared" si="3"/>
        <v>0</v>
      </c>
    </row>
    <row r="15" spans="1:30" s="3" customFormat="1">
      <c r="A15" s="5" t="s">
        <v>48</v>
      </c>
      <c r="B15" s="5" t="s">
        <v>87</v>
      </c>
      <c r="C15" s="5" t="s">
        <v>88</v>
      </c>
      <c r="D15" s="5" t="s">
        <v>109</v>
      </c>
      <c r="E15" s="6">
        <v>24308650</v>
      </c>
      <c r="F15" s="6">
        <v>24572116</v>
      </c>
      <c r="G15" s="6">
        <v>30299271</v>
      </c>
      <c r="H15" s="6">
        <f>F15*1.06</f>
        <v>26046442.960000001</v>
      </c>
      <c r="I15" s="6">
        <f t="shared" si="2"/>
        <v>-4252828.0399999991</v>
      </c>
      <c r="J15" s="6">
        <v>29225369</v>
      </c>
      <c r="K15" s="6">
        <f>H15*1.02</f>
        <v>26567371.819200002</v>
      </c>
      <c r="L15" s="6">
        <f t="shared" si="3"/>
        <v>-2657997.1807999983</v>
      </c>
      <c r="M15" s="3" t="s">
        <v>1444</v>
      </c>
      <c r="N15" s="5"/>
      <c r="O15" s="6"/>
      <c r="P15" s="6">
        <f>I15+L15</f>
        <v>-6910825.2207999974</v>
      </c>
      <c r="Q15" s="5"/>
      <c r="R15" s="5"/>
      <c r="S15" s="5"/>
      <c r="T15" s="5"/>
      <c r="U15" s="5"/>
      <c r="V15" s="5"/>
      <c r="W15" s="5"/>
      <c r="X15" s="5"/>
      <c r="Y15" s="5"/>
      <c r="Z15" s="5"/>
      <c r="AA15" s="5"/>
      <c r="AB15" s="5"/>
      <c r="AC15" s="5"/>
      <c r="AD15" s="5"/>
    </row>
    <row r="16" spans="1:30">
      <c r="A16" s="5" t="s">
        <v>48</v>
      </c>
      <c r="B16" s="5" t="s">
        <v>89</v>
      </c>
      <c r="C16" s="5" t="s">
        <v>90</v>
      </c>
      <c r="D16" s="5" t="s">
        <v>110</v>
      </c>
      <c r="G16" s="6">
        <v>2696093</v>
      </c>
      <c r="H16" s="6">
        <v>196093</v>
      </c>
      <c r="I16" s="6">
        <f t="shared" si="2"/>
        <v>-2500000</v>
      </c>
      <c r="J16" s="6">
        <v>2709193</v>
      </c>
      <c r="K16" s="6">
        <v>209193</v>
      </c>
      <c r="L16" s="6">
        <f t="shared" si="3"/>
        <v>-2500000</v>
      </c>
      <c r="M16" t="s">
        <v>1454</v>
      </c>
      <c r="Q16" s="6">
        <f>I16+L16</f>
        <v>-5000000</v>
      </c>
    </row>
    <row r="17" spans="1:24">
      <c r="A17" s="5" t="s">
        <v>48</v>
      </c>
      <c r="B17" s="5" t="s">
        <v>91</v>
      </c>
      <c r="C17" s="5" t="s">
        <v>92</v>
      </c>
      <c r="D17" s="5" t="s">
        <v>111</v>
      </c>
      <c r="G17" s="6">
        <v>3921407</v>
      </c>
      <c r="H17" s="60">
        <v>3921407</v>
      </c>
      <c r="I17" s="6">
        <f t="shared" si="2"/>
        <v>0</v>
      </c>
      <c r="J17" s="6">
        <v>3788542</v>
      </c>
      <c r="K17" s="6">
        <v>3788542</v>
      </c>
      <c r="L17" s="6">
        <f t="shared" si="3"/>
        <v>0</v>
      </c>
    </row>
    <row r="18" spans="1:24">
      <c r="A18" s="5" t="s">
        <v>48</v>
      </c>
      <c r="B18" s="5" t="s">
        <v>93</v>
      </c>
      <c r="C18" s="5" t="s">
        <v>101</v>
      </c>
      <c r="D18" s="5" t="s">
        <v>112</v>
      </c>
      <c r="E18" s="6">
        <v>257126</v>
      </c>
      <c r="F18" s="6">
        <v>261068</v>
      </c>
      <c r="G18" s="6">
        <v>369488</v>
      </c>
      <c r="H18" s="6">
        <v>364125</v>
      </c>
      <c r="I18" s="6">
        <f t="shared" si="2"/>
        <v>-5363</v>
      </c>
      <c r="J18" s="6">
        <v>401069</v>
      </c>
      <c r="K18" s="6">
        <v>397956</v>
      </c>
      <c r="L18" s="6">
        <f>K18-J18</f>
        <v>-3113</v>
      </c>
      <c r="M18" t="s">
        <v>129</v>
      </c>
      <c r="R18" s="6">
        <f>I18+L18</f>
        <v>-8476</v>
      </c>
    </row>
    <row r="19" spans="1:24">
      <c r="A19" s="5" t="s">
        <v>48</v>
      </c>
      <c r="B19" s="5" t="s">
        <v>94</v>
      </c>
      <c r="C19" s="5" t="s">
        <v>102</v>
      </c>
      <c r="D19" s="5" t="s">
        <v>113</v>
      </c>
      <c r="E19" s="6">
        <v>3610076</v>
      </c>
      <c r="F19" s="6">
        <v>3341981</v>
      </c>
      <c r="G19" s="6">
        <v>3773923</v>
      </c>
      <c r="H19" s="6">
        <v>3773923</v>
      </c>
      <c r="I19" s="6">
        <f t="shared" si="2"/>
        <v>0</v>
      </c>
      <c r="J19" s="6">
        <v>3795838</v>
      </c>
      <c r="K19" s="6">
        <v>3768357</v>
      </c>
      <c r="L19" s="6">
        <f t="shared" si="3"/>
        <v>-27481</v>
      </c>
      <c r="M19" t="s">
        <v>129</v>
      </c>
      <c r="R19" s="6">
        <f>I19+L19</f>
        <v>-27481</v>
      </c>
    </row>
    <row r="20" spans="1:24">
      <c r="A20" s="5" t="s">
        <v>48</v>
      </c>
      <c r="B20" s="5" t="s">
        <v>95</v>
      </c>
      <c r="C20" s="5" t="s">
        <v>103</v>
      </c>
      <c r="D20" s="5" t="s">
        <v>114</v>
      </c>
      <c r="E20" s="6">
        <v>6071106</v>
      </c>
      <c r="F20" s="6">
        <v>4737688</v>
      </c>
      <c r="G20" s="6">
        <v>6426038</v>
      </c>
      <c r="H20" s="6">
        <f>F20*1.06</f>
        <v>5021949.28</v>
      </c>
      <c r="I20" s="6">
        <f t="shared" si="2"/>
        <v>-1404088.7199999997</v>
      </c>
      <c r="J20" s="6">
        <v>5895521</v>
      </c>
      <c r="K20" s="6">
        <f>H20*1.02</f>
        <v>5122388.2656000005</v>
      </c>
      <c r="L20" s="6">
        <f t="shared" si="3"/>
        <v>-773132.73439999949</v>
      </c>
      <c r="M20" s="4" t="s">
        <v>1444</v>
      </c>
      <c r="U20" s="6">
        <f>I20+L20</f>
        <v>-2177221.4543999992</v>
      </c>
    </row>
    <row r="21" spans="1:24">
      <c r="A21" s="5" t="s">
        <v>48</v>
      </c>
      <c r="B21" s="5" t="s">
        <v>96</v>
      </c>
      <c r="C21" s="5" t="s">
        <v>104</v>
      </c>
      <c r="D21" s="5" t="s">
        <v>115</v>
      </c>
      <c r="G21" s="6">
        <v>2133637</v>
      </c>
      <c r="H21" s="6">
        <v>2133637</v>
      </c>
      <c r="I21" s="6">
        <f t="shared" si="2"/>
        <v>0</v>
      </c>
      <c r="J21" s="6">
        <v>2142394</v>
      </c>
      <c r="K21" s="6">
        <v>2142394</v>
      </c>
      <c r="L21" s="6">
        <f t="shared" si="3"/>
        <v>0</v>
      </c>
    </row>
    <row r="22" spans="1:24">
      <c r="A22" s="5" t="s">
        <v>48</v>
      </c>
      <c r="B22" s="5" t="s">
        <v>97</v>
      </c>
      <c r="C22" s="5" t="s">
        <v>105</v>
      </c>
      <c r="D22" s="5" t="s">
        <v>116</v>
      </c>
      <c r="G22" s="6">
        <v>397185</v>
      </c>
      <c r="H22" s="6">
        <v>397185</v>
      </c>
      <c r="I22" s="6">
        <f t="shared" si="2"/>
        <v>0</v>
      </c>
      <c r="J22" s="6">
        <v>397740</v>
      </c>
      <c r="K22" s="6">
        <v>397740</v>
      </c>
      <c r="L22" s="6">
        <f t="shared" si="3"/>
        <v>0</v>
      </c>
    </row>
    <row r="23" spans="1:24">
      <c r="A23" s="5" t="s">
        <v>48</v>
      </c>
      <c r="B23" s="5" t="s">
        <v>98</v>
      </c>
      <c r="C23" s="5" t="s">
        <v>106</v>
      </c>
      <c r="D23" s="5" t="s">
        <v>117</v>
      </c>
      <c r="G23" s="6">
        <v>396304</v>
      </c>
      <c r="H23" s="6">
        <v>396131</v>
      </c>
      <c r="I23" s="6">
        <f t="shared" si="2"/>
        <v>-173</v>
      </c>
      <c r="J23" s="6">
        <v>448027</v>
      </c>
      <c r="K23" s="6">
        <v>426326</v>
      </c>
      <c r="L23" s="6">
        <f t="shared" si="3"/>
        <v>-21701</v>
      </c>
      <c r="M23" t="s">
        <v>129</v>
      </c>
      <c r="R23" s="6">
        <f>I23+L23</f>
        <v>-21874</v>
      </c>
    </row>
    <row r="24" spans="1:24">
      <c r="A24" s="5" t="s">
        <v>48</v>
      </c>
      <c r="B24" s="5" t="s">
        <v>99</v>
      </c>
      <c r="C24" s="5" t="s">
        <v>107</v>
      </c>
      <c r="D24" s="5" t="s">
        <v>118</v>
      </c>
      <c r="G24" s="6">
        <v>8488072</v>
      </c>
      <c r="H24" s="6">
        <v>7895514</v>
      </c>
      <c r="I24" s="6">
        <f t="shared" si="2"/>
        <v>-592558</v>
      </c>
      <c r="J24" s="6">
        <v>8486231</v>
      </c>
      <c r="K24" s="6">
        <v>8279390</v>
      </c>
      <c r="L24" s="6">
        <f t="shared" si="3"/>
        <v>-206841</v>
      </c>
      <c r="M24" s="4" t="s">
        <v>129</v>
      </c>
      <c r="W24" s="6">
        <f>I24+L24</f>
        <v>-799399</v>
      </c>
    </row>
    <row r="25" spans="1:24">
      <c r="A25" s="5" t="s">
        <v>48</v>
      </c>
      <c r="B25" s="5" t="s">
        <v>100</v>
      </c>
      <c r="C25" s="5" t="s">
        <v>108</v>
      </c>
      <c r="D25" s="5" t="s">
        <v>119</v>
      </c>
      <c r="G25" s="6">
        <v>17585342</v>
      </c>
      <c r="H25" s="6">
        <v>16176741</v>
      </c>
      <c r="I25" s="6">
        <f t="shared" si="2"/>
        <v>-1408601</v>
      </c>
      <c r="J25" s="6">
        <v>10590428</v>
      </c>
      <c r="K25" s="6">
        <v>10590428</v>
      </c>
      <c r="L25" s="6">
        <f t="shared" si="3"/>
        <v>0</v>
      </c>
      <c r="M25" s="4" t="s">
        <v>1438</v>
      </c>
      <c r="O25" s="6">
        <v>1408601</v>
      </c>
      <c r="T25" s="6"/>
      <c r="X25" s="6">
        <f>I25+L25</f>
        <v>-1408601</v>
      </c>
    </row>
    <row r="26" spans="1:24">
      <c r="A26" s="5" t="s">
        <v>48</v>
      </c>
      <c r="B26" s="5" t="s">
        <v>120</v>
      </c>
      <c r="C26" s="5" t="s">
        <v>121</v>
      </c>
      <c r="D26" s="5" t="s">
        <v>122</v>
      </c>
      <c r="E26" s="6">
        <v>12206378</v>
      </c>
      <c r="F26" s="6">
        <v>11024521</v>
      </c>
      <c r="G26" s="6">
        <v>21107463</v>
      </c>
      <c r="H26" s="6">
        <f>F26*1.06</f>
        <v>11685992.26</v>
      </c>
      <c r="I26" s="6">
        <f t="shared" si="2"/>
        <v>-9421470.7400000002</v>
      </c>
      <c r="J26" s="6">
        <v>24488399</v>
      </c>
      <c r="K26" s="6">
        <f>H26*1.02</f>
        <v>11919712.1052</v>
      </c>
      <c r="L26" s="6">
        <f>K26-J26</f>
        <v>-12568686.8948</v>
      </c>
      <c r="M26" t="s">
        <v>1444</v>
      </c>
      <c r="N26" s="5" t="s">
        <v>1455</v>
      </c>
      <c r="P26" s="6">
        <f>I26+L26</f>
        <v>-21990157.634800002</v>
      </c>
    </row>
    <row r="27" spans="1:24">
      <c r="A27" s="5" t="s">
        <v>48</v>
      </c>
      <c r="B27" s="5" t="s">
        <v>123</v>
      </c>
      <c r="C27" s="5" t="s">
        <v>124</v>
      </c>
      <c r="D27" s="5" t="s">
        <v>125</v>
      </c>
      <c r="G27" s="6">
        <v>1752301</v>
      </c>
      <c r="H27" s="6">
        <v>1752301</v>
      </c>
      <c r="I27" s="6">
        <f t="shared" si="2"/>
        <v>0</v>
      </c>
      <c r="J27" s="6">
        <v>990357</v>
      </c>
      <c r="K27" s="6">
        <v>990357</v>
      </c>
      <c r="L27" s="6">
        <f t="shared" si="3"/>
        <v>0</v>
      </c>
    </row>
    <row r="28" spans="1:24">
      <c r="A28" s="5" t="s">
        <v>48</v>
      </c>
      <c r="B28" s="5" t="s">
        <v>126</v>
      </c>
      <c r="C28" s="5" t="s">
        <v>127</v>
      </c>
      <c r="D28" s="5" t="s">
        <v>128</v>
      </c>
      <c r="G28" s="6">
        <v>2845469</v>
      </c>
      <c r="H28" s="6">
        <v>2626451</v>
      </c>
      <c r="I28" s="6">
        <f t="shared" si="2"/>
        <v>-219018</v>
      </c>
      <c r="J28" s="6">
        <v>2818449</v>
      </c>
      <c r="K28" s="6">
        <v>2619743</v>
      </c>
      <c r="L28" s="6">
        <f t="shared" si="3"/>
        <v>-198706</v>
      </c>
      <c r="M28" t="s">
        <v>129</v>
      </c>
      <c r="R28" s="6">
        <f>I28+L28</f>
        <v>-417724</v>
      </c>
    </row>
    <row r="29" spans="1:24">
      <c r="A29" s="5" t="s">
        <v>48</v>
      </c>
      <c r="B29" s="5" t="s">
        <v>130</v>
      </c>
      <c r="C29" s="5" t="s">
        <v>131</v>
      </c>
      <c r="D29" s="5" t="s">
        <v>132</v>
      </c>
      <c r="G29" s="6">
        <v>278732765</v>
      </c>
      <c r="H29" s="6">
        <v>254588192</v>
      </c>
      <c r="I29" s="6">
        <f t="shared" si="2"/>
        <v>-24144573</v>
      </c>
      <c r="J29" s="6">
        <v>294062109</v>
      </c>
      <c r="K29" s="6">
        <v>259832985</v>
      </c>
      <c r="L29" s="6">
        <f t="shared" si="3"/>
        <v>-34229124</v>
      </c>
      <c r="M29" s="4" t="s">
        <v>129</v>
      </c>
      <c r="O29" s="6">
        <v>24144573</v>
      </c>
      <c r="W29" s="6">
        <f>I29+L29</f>
        <v>-58373697</v>
      </c>
    </row>
    <row r="30" spans="1:24">
      <c r="A30" s="5" t="s">
        <v>48</v>
      </c>
      <c r="B30" s="5" t="s">
        <v>133</v>
      </c>
      <c r="C30" s="5" t="s">
        <v>134</v>
      </c>
      <c r="D30" s="5" t="s">
        <v>135</v>
      </c>
      <c r="G30" s="6">
        <v>27605142</v>
      </c>
      <c r="H30" s="6">
        <v>27604925</v>
      </c>
      <c r="I30" s="6">
        <f t="shared" si="2"/>
        <v>-217</v>
      </c>
      <c r="J30" s="6">
        <v>26416367</v>
      </c>
      <c r="K30" s="6">
        <v>26416150</v>
      </c>
      <c r="L30" s="6">
        <f t="shared" si="3"/>
        <v>-217</v>
      </c>
      <c r="M30" s="4" t="s">
        <v>129</v>
      </c>
      <c r="W30" s="6">
        <f>I30+L30</f>
        <v>-434</v>
      </c>
    </row>
    <row r="31" spans="1:24">
      <c r="A31" s="5" t="s">
        <v>48</v>
      </c>
      <c r="B31" s="5" t="s">
        <v>136</v>
      </c>
      <c r="C31" s="5" t="s">
        <v>137</v>
      </c>
      <c r="D31" s="5" t="s">
        <v>138</v>
      </c>
      <c r="G31" s="6">
        <v>27779013</v>
      </c>
      <c r="H31" s="6">
        <v>27779013</v>
      </c>
      <c r="I31" s="6">
        <f t="shared" si="2"/>
        <v>0</v>
      </c>
      <c r="J31" s="6">
        <v>26590011</v>
      </c>
      <c r="K31" s="6">
        <v>26589965</v>
      </c>
      <c r="L31" s="6">
        <f t="shared" si="3"/>
        <v>-46</v>
      </c>
      <c r="M31" s="4" t="s">
        <v>129</v>
      </c>
      <c r="W31" s="6">
        <f>I31+L31</f>
        <v>-46</v>
      </c>
    </row>
    <row r="32" spans="1:24">
      <c r="A32" s="5" t="s">
        <v>48</v>
      </c>
      <c r="B32" s="5" t="s">
        <v>139</v>
      </c>
      <c r="C32" s="5" t="s">
        <v>140</v>
      </c>
      <c r="D32" s="5" t="s">
        <v>141</v>
      </c>
      <c r="G32" s="6">
        <v>3641611</v>
      </c>
      <c r="H32" s="6">
        <v>3176077</v>
      </c>
      <c r="I32" s="6">
        <f t="shared" si="2"/>
        <v>-465534</v>
      </c>
      <c r="J32" s="6">
        <v>1643650</v>
      </c>
      <c r="K32" s="6">
        <v>1245203</v>
      </c>
      <c r="L32" s="6">
        <f t="shared" si="3"/>
        <v>-398447</v>
      </c>
      <c r="M32" s="4" t="s">
        <v>1550</v>
      </c>
      <c r="W32" s="6">
        <f>I32+L32</f>
        <v>-863981</v>
      </c>
    </row>
    <row r="33" spans="1:23">
      <c r="A33" s="5" t="s">
        <v>48</v>
      </c>
      <c r="B33" s="5" t="s">
        <v>142</v>
      </c>
      <c r="C33" s="5" t="s">
        <v>143</v>
      </c>
      <c r="D33" s="5" t="s">
        <v>147</v>
      </c>
      <c r="G33" s="6">
        <v>10082257</v>
      </c>
      <c r="H33" s="6">
        <v>10082257</v>
      </c>
      <c r="I33" s="6">
        <f t="shared" si="2"/>
        <v>0</v>
      </c>
      <c r="J33" s="6">
        <v>10762142</v>
      </c>
      <c r="K33" s="6">
        <v>10762142</v>
      </c>
      <c r="L33" s="6">
        <f t="shared" si="3"/>
        <v>0</v>
      </c>
    </row>
    <row r="34" spans="1:23">
      <c r="A34" s="5" t="s">
        <v>48</v>
      </c>
      <c r="B34" s="5" t="s">
        <v>144</v>
      </c>
      <c r="C34" s="5" t="s">
        <v>145</v>
      </c>
      <c r="D34" s="5" t="s">
        <v>146</v>
      </c>
      <c r="G34" s="6">
        <v>650809</v>
      </c>
      <c r="H34" s="6">
        <v>593136</v>
      </c>
      <c r="I34" s="6">
        <f t="shared" si="2"/>
        <v>-57673</v>
      </c>
      <c r="J34" s="6">
        <v>674703</v>
      </c>
      <c r="K34" s="6">
        <v>602152</v>
      </c>
      <c r="L34" s="6">
        <f t="shared" si="3"/>
        <v>-72551</v>
      </c>
      <c r="M34" s="4" t="s">
        <v>129</v>
      </c>
      <c r="W34" s="6">
        <f>I34+L34</f>
        <v>-130224</v>
      </c>
    </row>
    <row r="35" spans="1:23">
      <c r="A35" s="5" t="s">
        <v>48</v>
      </c>
      <c r="B35" s="5" t="s">
        <v>148</v>
      </c>
      <c r="C35" s="5" t="s">
        <v>149</v>
      </c>
      <c r="D35" s="5" t="s">
        <v>150</v>
      </c>
      <c r="G35" s="6">
        <v>387277</v>
      </c>
      <c r="H35" s="6">
        <v>354923</v>
      </c>
      <c r="I35" s="6">
        <f t="shared" si="2"/>
        <v>-32354</v>
      </c>
      <c r="J35" s="6">
        <v>378944</v>
      </c>
      <c r="K35" s="6">
        <v>357194</v>
      </c>
      <c r="L35" s="6">
        <f t="shared" si="3"/>
        <v>-21750</v>
      </c>
      <c r="M35" s="4" t="s">
        <v>129</v>
      </c>
      <c r="W35" s="6">
        <f>I35+L35</f>
        <v>-54104</v>
      </c>
    </row>
    <row r="36" spans="1:23">
      <c r="A36" s="5" t="s">
        <v>48</v>
      </c>
      <c r="B36" s="5" t="s">
        <v>151</v>
      </c>
      <c r="C36" s="5" t="s">
        <v>152</v>
      </c>
      <c r="D36" s="5" t="s">
        <v>153</v>
      </c>
      <c r="G36" s="6">
        <v>2073235</v>
      </c>
      <c r="H36" s="6">
        <v>2060062</v>
      </c>
      <c r="I36" s="6">
        <f t="shared" si="2"/>
        <v>-13173</v>
      </c>
      <c r="J36" s="6">
        <v>2078415</v>
      </c>
      <c r="K36" s="6">
        <v>2065282</v>
      </c>
      <c r="L36" s="6">
        <f t="shared" si="3"/>
        <v>-13133</v>
      </c>
      <c r="M36" s="4" t="s">
        <v>129</v>
      </c>
      <c r="W36" s="6">
        <f>I36+L36</f>
        <v>-26306</v>
      </c>
    </row>
    <row r="37" spans="1:23">
      <c r="A37" s="5" t="s">
        <v>48</v>
      </c>
      <c r="B37" s="5" t="s">
        <v>154</v>
      </c>
      <c r="C37" s="5" t="s">
        <v>155</v>
      </c>
      <c r="D37" s="5" t="s">
        <v>156</v>
      </c>
      <c r="E37" s="6">
        <v>4015190</v>
      </c>
      <c r="F37" s="6">
        <v>4069798</v>
      </c>
      <c r="G37" s="6">
        <v>7319199</v>
      </c>
      <c r="H37" s="6">
        <f>F37*1.06</f>
        <v>4313985.88</v>
      </c>
      <c r="I37" s="6">
        <f t="shared" si="2"/>
        <v>-3005213.12</v>
      </c>
      <c r="J37" s="6">
        <v>5749544</v>
      </c>
      <c r="K37" s="6">
        <f>H37*1.02</f>
        <v>4400265.5976</v>
      </c>
      <c r="L37" s="6">
        <f t="shared" si="3"/>
        <v>-1349278.4024</v>
      </c>
      <c r="M37" t="s">
        <v>1444</v>
      </c>
      <c r="N37" s="5" t="s">
        <v>1511</v>
      </c>
      <c r="P37" s="6">
        <f>I37+L37</f>
        <v>-4354491.5224000001</v>
      </c>
    </row>
    <row r="38" spans="1:23">
      <c r="A38" s="5" t="s">
        <v>48</v>
      </c>
      <c r="B38" s="5" t="s">
        <v>157</v>
      </c>
      <c r="C38" s="5" t="s">
        <v>158</v>
      </c>
      <c r="D38" s="5" t="s">
        <v>159</v>
      </c>
      <c r="G38" s="6">
        <v>1980018</v>
      </c>
      <c r="H38" s="6">
        <v>1428532</v>
      </c>
      <c r="I38" s="6">
        <f t="shared" si="2"/>
        <v>-551486</v>
      </c>
      <c r="J38" s="6">
        <v>4078546</v>
      </c>
      <c r="K38" s="6">
        <v>1691440</v>
      </c>
      <c r="L38" s="6">
        <f t="shared" si="3"/>
        <v>-2387106</v>
      </c>
      <c r="M38" s="4" t="s">
        <v>129</v>
      </c>
      <c r="W38" s="6">
        <f>I38+L38</f>
        <v>-2938592</v>
      </c>
    </row>
    <row r="39" spans="1:23">
      <c r="A39" s="19" t="s">
        <v>1530</v>
      </c>
      <c r="B39" s="5" t="s">
        <v>1528</v>
      </c>
      <c r="G39" s="6">
        <v>0</v>
      </c>
      <c r="H39" s="6">
        <v>10000000</v>
      </c>
      <c r="I39" s="6">
        <f t="shared" si="2"/>
        <v>10000000</v>
      </c>
      <c r="J39" s="6">
        <v>0</v>
      </c>
      <c r="K39" s="6">
        <v>10000000</v>
      </c>
      <c r="L39" s="6">
        <f t="shared" si="3"/>
        <v>10000000</v>
      </c>
      <c r="M39" s="19" t="s">
        <v>1529</v>
      </c>
      <c r="R39" s="6"/>
      <c r="T39" s="6">
        <v>20000000</v>
      </c>
    </row>
    <row r="40" spans="1:23">
      <c r="A40" s="5" t="s">
        <v>48</v>
      </c>
      <c r="B40" s="5" t="s">
        <v>13</v>
      </c>
      <c r="C40" s="5" t="s">
        <v>160</v>
      </c>
      <c r="D40" s="5" t="s">
        <v>161</v>
      </c>
      <c r="E40" s="6">
        <v>618477</v>
      </c>
      <c r="F40" s="6">
        <v>625906</v>
      </c>
      <c r="G40" s="6">
        <v>841725</v>
      </c>
      <c r="H40" s="6">
        <v>841725</v>
      </c>
      <c r="I40" s="6">
        <f t="shared" si="2"/>
        <v>0</v>
      </c>
      <c r="J40" s="6">
        <v>826512</v>
      </c>
      <c r="K40" s="6">
        <v>826512</v>
      </c>
      <c r="L40" s="6">
        <f t="shared" si="3"/>
        <v>0</v>
      </c>
      <c r="P40" s="6"/>
    </row>
    <row r="41" spans="1:23">
      <c r="A41" s="5" t="s">
        <v>164</v>
      </c>
      <c r="B41" s="5" t="s">
        <v>162</v>
      </c>
      <c r="C41" s="5" t="s">
        <v>163</v>
      </c>
      <c r="D41" s="5" t="s">
        <v>165</v>
      </c>
      <c r="E41" s="6">
        <v>28779665</v>
      </c>
      <c r="F41" s="6">
        <v>28423091</v>
      </c>
      <c r="G41" s="6">
        <v>31654466</v>
      </c>
      <c r="H41" s="6">
        <f>F41*1.06</f>
        <v>30128476.460000001</v>
      </c>
      <c r="I41" s="6">
        <f t="shared" si="2"/>
        <v>-1525989.5399999991</v>
      </c>
      <c r="J41" s="6">
        <v>30875958</v>
      </c>
      <c r="K41" s="6">
        <f>H41*1.02</f>
        <v>30731045.9892</v>
      </c>
      <c r="L41" s="6">
        <f t="shared" si="3"/>
        <v>-144912.01080000028</v>
      </c>
      <c r="M41" t="s">
        <v>1444</v>
      </c>
      <c r="P41" s="6">
        <f>I41+L41</f>
        <v>-1670901.5507999994</v>
      </c>
    </row>
    <row r="42" spans="1:23">
      <c r="A42" s="5" t="s">
        <v>164</v>
      </c>
      <c r="B42" s="5" t="s">
        <v>166</v>
      </c>
      <c r="C42" s="5" t="s">
        <v>167</v>
      </c>
      <c r="D42" s="5" t="s">
        <v>168</v>
      </c>
      <c r="G42" s="6">
        <v>643494</v>
      </c>
      <c r="H42" s="6">
        <v>643494</v>
      </c>
      <c r="I42" s="6">
        <f t="shared" si="2"/>
        <v>0</v>
      </c>
      <c r="J42" s="6">
        <v>641368</v>
      </c>
      <c r="K42" s="6">
        <v>641368</v>
      </c>
      <c r="L42" s="6">
        <f t="shared" si="3"/>
        <v>0</v>
      </c>
    </row>
    <row r="43" spans="1:23">
      <c r="A43" s="5" t="s">
        <v>164</v>
      </c>
      <c r="B43" s="5" t="s">
        <v>169</v>
      </c>
      <c r="C43" s="5" t="s">
        <v>170</v>
      </c>
      <c r="D43" s="5" t="s">
        <v>171</v>
      </c>
      <c r="G43" s="6">
        <v>3048612</v>
      </c>
      <c r="H43" s="6">
        <v>2347400</v>
      </c>
      <c r="I43" s="6">
        <f t="shared" si="2"/>
        <v>-701212</v>
      </c>
      <c r="J43" s="6">
        <v>3157579</v>
      </c>
      <c r="K43" s="6">
        <v>2969400</v>
      </c>
      <c r="L43" s="6">
        <f t="shared" si="3"/>
        <v>-188179</v>
      </c>
      <c r="M43" s="4" t="s">
        <v>129</v>
      </c>
      <c r="R43" s="6"/>
      <c r="W43" s="6">
        <f>I43+L43</f>
        <v>-889391</v>
      </c>
    </row>
    <row r="44" spans="1:23">
      <c r="A44" s="5" t="s">
        <v>212</v>
      </c>
      <c r="B44" s="5" t="s">
        <v>44</v>
      </c>
      <c r="C44" s="5" t="s">
        <v>172</v>
      </c>
      <c r="D44" s="5" t="s">
        <v>173</v>
      </c>
      <c r="G44" s="6">
        <v>10926001</v>
      </c>
      <c r="H44" s="6">
        <v>10926001</v>
      </c>
      <c r="I44" s="6">
        <f t="shared" si="2"/>
        <v>0</v>
      </c>
      <c r="J44" s="6">
        <v>10884787</v>
      </c>
      <c r="K44" s="6">
        <v>10884787</v>
      </c>
      <c r="L44" s="6">
        <f t="shared" si="3"/>
        <v>0</v>
      </c>
    </row>
    <row r="45" spans="1:23">
      <c r="A45" s="5" t="s">
        <v>212</v>
      </c>
      <c r="B45" s="5" t="s">
        <v>174</v>
      </c>
      <c r="C45" s="5" t="s">
        <v>175</v>
      </c>
      <c r="D45" s="5" t="s">
        <v>176</v>
      </c>
      <c r="G45" s="6">
        <v>2122645</v>
      </c>
      <c r="H45" s="6">
        <v>2122645</v>
      </c>
      <c r="I45" s="6">
        <f t="shared" si="2"/>
        <v>0</v>
      </c>
      <c r="J45" s="6">
        <v>2117723</v>
      </c>
      <c r="K45" s="6">
        <v>2117723</v>
      </c>
      <c r="L45" s="6">
        <f t="shared" si="3"/>
        <v>0</v>
      </c>
    </row>
    <row r="46" spans="1:23">
      <c r="A46" s="5" t="s">
        <v>212</v>
      </c>
      <c r="B46" s="5" t="s">
        <v>177</v>
      </c>
      <c r="C46" s="5" t="s">
        <v>178</v>
      </c>
      <c r="D46" s="5" t="s">
        <v>179</v>
      </c>
      <c r="G46" s="6">
        <v>21730016</v>
      </c>
      <c r="H46" s="6">
        <v>21441140</v>
      </c>
      <c r="I46" s="6">
        <f t="shared" si="2"/>
        <v>-288876</v>
      </c>
      <c r="J46" s="6">
        <v>21968076</v>
      </c>
      <c r="K46" s="6">
        <v>21716634</v>
      </c>
      <c r="L46" s="6">
        <f t="shared" si="3"/>
        <v>-251442</v>
      </c>
      <c r="M46" t="s">
        <v>129</v>
      </c>
      <c r="R46" s="6">
        <f>I46+L46</f>
        <v>-540318</v>
      </c>
    </row>
    <row r="47" spans="1:23">
      <c r="A47" s="5" t="s">
        <v>212</v>
      </c>
      <c r="B47" s="5" t="s">
        <v>180</v>
      </c>
      <c r="C47" s="5" t="s">
        <v>181</v>
      </c>
      <c r="D47" s="5" t="s">
        <v>182</v>
      </c>
      <c r="G47" s="6">
        <v>15349</v>
      </c>
      <c r="H47" s="6">
        <v>15349</v>
      </c>
      <c r="I47" s="6">
        <f t="shared" si="2"/>
        <v>0</v>
      </c>
      <c r="J47" s="6">
        <v>15349</v>
      </c>
      <c r="K47" s="6">
        <v>15349</v>
      </c>
      <c r="L47" s="6">
        <f t="shared" si="3"/>
        <v>0</v>
      </c>
    </row>
    <row r="48" spans="1:23">
      <c r="A48" s="5" t="s">
        <v>212</v>
      </c>
      <c r="B48" s="5" t="s">
        <v>183</v>
      </c>
      <c r="C48" s="5" t="s">
        <v>184</v>
      </c>
      <c r="D48" s="5" t="s">
        <v>187</v>
      </c>
      <c r="G48" s="6">
        <v>1492650</v>
      </c>
      <c r="H48" s="6">
        <v>1492650</v>
      </c>
      <c r="I48" s="6">
        <f t="shared" si="2"/>
        <v>0</v>
      </c>
      <c r="J48" s="6">
        <v>1492641</v>
      </c>
      <c r="K48" s="6">
        <v>1492641</v>
      </c>
      <c r="L48" s="6">
        <f t="shared" si="3"/>
        <v>0</v>
      </c>
    </row>
    <row r="49" spans="1:30">
      <c r="A49" s="5" t="s">
        <v>212</v>
      </c>
      <c r="B49" s="5" t="s">
        <v>185</v>
      </c>
      <c r="C49" s="5" t="s">
        <v>186</v>
      </c>
      <c r="D49" s="5" t="s">
        <v>188</v>
      </c>
      <c r="G49" s="6">
        <v>1747475</v>
      </c>
      <c r="H49" s="6">
        <v>1747475</v>
      </c>
      <c r="I49" s="6">
        <f t="shared" si="2"/>
        <v>0</v>
      </c>
      <c r="J49" s="6">
        <v>1860051</v>
      </c>
      <c r="K49" s="6">
        <f>H49*1.02</f>
        <v>1782424.5</v>
      </c>
      <c r="L49" s="6">
        <f t="shared" si="3"/>
        <v>-77626.5</v>
      </c>
      <c r="M49" t="s">
        <v>1457</v>
      </c>
      <c r="P49" s="6">
        <f>I49+L49</f>
        <v>-77626.5</v>
      </c>
    </row>
    <row r="50" spans="1:30">
      <c r="A50" s="5" t="s">
        <v>212</v>
      </c>
      <c r="B50" s="5" t="s">
        <v>189</v>
      </c>
      <c r="C50" s="5" t="s">
        <v>190</v>
      </c>
      <c r="D50" s="5" t="s">
        <v>191</v>
      </c>
      <c r="G50" s="6">
        <v>5261375</v>
      </c>
      <c r="H50" s="6">
        <f>G50-63081</f>
        <v>5198294</v>
      </c>
      <c r="I50" s="6">
        <f t="shared" si="2"/>
        <v>-63081</v>
      </c>
      <c r="J50" s="6">
        <v>4816730</v>
      </c>
      <c r="K50" s="6">
        <f>4809798-62385</f>
        <v>4747413</v>
      </c>
      <c r="L50" s="6">
        <f t="shared" si="3"/>
        <v>-69317</v>
      </c>
      <c r="M50" s="4" t="s">
        <v>1551</v>
      </c>
      <c r="X50" s="6">
        <f>I50+L50</f>
        <v>-132398</v>
      </c>
    </row>
    <row r="51" spans="1:30">
      <c r="A51" s="5" t="s">
        <v>212</v>
      </c>
      <c r="B51" s="5" t="s">
        <v>192</v>
      </c>
      <c r="C51" s="5" t="s">
        <v>193</v>
      </c>
      <c r="D51" s="5" t="s">
        <v>194</v>
      </c>
      <c r="G51" s="6">
        <v>1130341</v>
      </c>
      <c r="H51" s="6">
        <v>1129214</v>
      </c>
      <c r="I51" s="6">
        <f t="shared" si="2"/>
        <v>-1127</v>
      </c>
      <c r="J51" s="6">
        <v>1153134</v>
      </c>
      <c r="K51" s="6">
        <v>1153134</v>
      </c>
      <c r="L51" s="6">
        <f t="shared" si="3"/>
        <v>0</v>
      </c>
      <c r="M51" t="s">
        <v>129</v>
      </c>
      <c r="R51" s="6">
        <f>I51+L51</f>
        <v>-1127</v>
      </c>
    </row>
    <row r="52" spans="1:30">
      <c r="A52" s="5" t="s">
        <v>212</v>
      </c>
      <c r="B52" s="5" t="s">
        <v>195</v>
      </c>
      <c r="C52" s="5" t="s">
        <v>196</v>
      </c>
      <c r="D52" s="5" t="s">
        <v>197</v>
      </c>
      <c r="G52" s="6">
        <v>2621639</v>
      </c>
      <c r="H52" s="6">
        <v>2621639</v>
      </c>
      <c r="I52" s="6">
        <f t="shared" si="2"/>
        <v>0</v>
      </c>
      <c r="J52" s="6">
        <v>1988692</v>
      </c>
      <c r="K52" s="6">
        <v>1939278</v>
      </c>
      <c r="L52" s="6">
        <f t="shared" si="3"/>
        <v>-49414</v>
      </c>
      <c r="M52" s="4" t="s">
        <v>129</v>
      </c>
      <c r="W52" s="6">
        <f>I52+L52</f>
        <v>-49414</v>
      </c>
    </row>
    <row r="53" spans="1:30">
      <c r="A53" s="5" t="s">
        <v>212</v>
      </c>
      <c r="B53" s="5" t="s">
        <v>198</v>
      </c>
      <c r="C53" s="5" t="s">
        <v>199</v>
      </c>
      <c r="D53" s="5" t="s">
        <v>200</v>
      </c>
      <c r="G53" s="6">
        <v>1397582</v>
      </c>
      <c r="H53" s="6">
        <v>1397582</v>
      </c>
      <c r="I53" s="6">
        <f t="shared" si="2"/>
        <v>0</v>
      </c>
      <c r="J53" s="6">
        <v>1171237</v>
      </c>
      <c r="K53" s="6">
        <v>1159426</v>
      </c>
      <c r="L53" s="6">
        <f t="shared" si="3"/>
        <v>-11811</v>
      </c>
      <c r="M53" s="4" t="s">
        <v>129</v>
      </c>
      <c r="W53" s="6">
        <f>I53+L53</f>
        <v>-11811</v>
      </c>
    </row>
    <row r="54" spans="1:30">
      <c r="A54" s="5" t="s">
        <v>212</v>
      </c>
      <c r="B54" s="5" t="s">
        <v>202</v>
      </c>
      <c r="C54" s="5" t="s">
        <v>201</v>
      </c>
      <c r="D54" s="5" t="s">
        <v>203</v>
      </c>
      <c r="E54" s="6">
        <v>7301427</v>
      </c>
      <c r="F54" s="6">
        <v>7819981</v>
      </c>
      <c r="G54" s="6">
        <v>9516656</v>
      </c>
      <c r="H54" s="6">
        <v>9516656</v>
      </c>
      <c r="I54" s="6">
        <f t="shared" si="2"/>
        <v>0</v>
      </c>
      <c r="J54" s="6">
        <v>10239573</v>
      </c>
      <c r="K54" s="6">
        <v>10239573</v>
      </c>
      <c r="L54" s="6">
        <f t="shared" si="3"/>
        <v>0</v>
      </c>
    </row>
    <row r="55" spans="1:30">
      <c r="A55" s="5" t="s">
        <v>212</v>
      </c>
      <c r="B55" s="5" t="s">
        <v>204</v>
      </c>
      <c r="C55" s="5" t="s">
        <v>205</v>
      </c>
      <c r="D55" s="5" t="s">
        <v>206</v>
      </c>
      <c r="E55" s="6">
        <v>801832</v>
      </c>
      <c r="F55" s="6">
        <v>806583</v>
      </c>
      <c r="G55" s="6">
        <v>465714</v>
      </c>
      <c r="H55" s="6">
        <v>465714</v>
      </c>
      <c r="I55" s="6">
        <f t="shared" si="2"/>
        <v>0</v>
      </c>
      <c r="J55" s="6">
        <v>627694</v>
      </c>
      <c r="K55" s="6">
        <v>627694</v>
      </c>
      <c r="L55" s="6">
        <f t="shared" si="3"/>
        <v>0</v>
      </c>
    </row>
    <row r="56" spans="1:30">
      <c r="A56" s="5" t="s">
        <v>212</v>
      </c>
      <c r="B56" s="5" t="s">
        <v>208</v>
      </c>
      <c r="C56" s="5" t="s">
        <v>207</v>
      </c>
      <c r="D56" s="5" t="s">
        <v>209</v>
      </c>
      <c r="E56" s="6">
        <v>698372</v>
      </c>
      <c r="F56" s="6">
        <v>686641</v>
      </c>
      <c r="G56" s="6">
        <v>1815862</v>
      </c>
      <c r="H56" s="6">
        <v>1815862</v>
      </c>
      <c r="I56" s="6">
        <f t="shared" si="2"/>
        <v>0</v>
      </c>
      <c r="J56" s="6">
        <v>1971801</v>
      </c>
      <c r="K56" s="6">
        <v>1971801</v>
      </c>
      <c r="L56" s="6">
        <f t="shared" si="3"/>
        <v>0</v>
      </c>
    </row>
    <row r="57" spans="1:30">
      <c r="A57" s="5" t="s">
        <v>212</v>
      </c>
      <c r="B57" s="5" t="s">
        <v>211</v>
      </c>
      <c r="C57" s="5" t="s">
        <v>210</v>
      </c>
      <c r="D57" s="5" t="s">
        <v>213</v>
      </c>
      <c r="E57" s="6">
        <v>10035766</v>
      </c>
      <c r="F57" s="6">
        <v>10301890</v>
      </c>
      <c r="G57" s="6">
        <v>2733144</v>
      </c>
      <c r="H57" s="6">
        <v>0</v>
      </c>
      <c r="I57" s="6">
        <f t="shared" si="2"/>
        <v>-2733144</v>
      </c>
      <c r="J57" s="6">
        <v>1526770</v>
      </c>
      <c r="K57" s="6">
        <v>0</v>
      </c>
      <c r="L57" s="6">
        <f t="shared" si="3"/>
        <v>-1526770</v>
      </c>
      <c r="M57" s="4" t="s">
        <v>1439</v>
      </c>
      <c r="T57" s="6"/>
      <c r="X57" s="6">
        <f>I57+L57</f>
        <v>-4259914</v>
      </c>
    </row>
    <row r="58" spans="1:30">
      <c r="A58" s="5" t="s">
        <v>212</v>
      </c>
      <c r="B58" s="5" t="s">
        <v>214</v>
      </c>
      <c r="C58" s="5" t="s">
        <v>215</v>
      </c>
      <c r="D58" s="5" t="s">
        <v>216</v>
      </c>
      <c r="E58" s="6">
        <v>695047</v>
      </c>
      <c r="F58" s="6">
        <v>684187</v>
      </c>
      <c r="G58" s="6">
        <v>837860</v>
      </c>
      <c r="H58" s="6">
        <f>F58*1.06</f>
        <v>725238.22000000009</v>
      </c>
      <c r="I58" s="6">
        <f t="shared" si="2"/>
        <v>-112621.77999999991</v>
      </c>
      <c r="J58" s="6">
        <v>792436</v>
      </c>
      <c r="K58" s="6">
        <f>H58*1.02</f>
        <v>739742.98440000007</v>
      </c>
      <c r="L58" s="6">
        <f t="shared" si="3"/>
        <v>-52693.015599999926</v>
      </c>
      <c r="M58" t="s">
        <v>1444</v>
      </c>
      <c r="P58" s="6">
        <f>I58+L58</f>
        <v>-165314.79559999984</v>
      </c>
    </row>
    <row r="59" spans="1:30" s="3" customFormat="1">
      <c r="A59" s="5" t="s">
        <v>1437</v>
      </c>
      <c r="B59" s="5" t="s">
        <v>284</v>
      </c>
      <c r="C59" s="5" t="s">
        <v>217</v>
      </c>
      <c r="D59" s="5" t="s">
        <v>218</v>
      </c>
      <c r="E59" s="6"/>
      <c r="F59" s="6"/>
      <c r="G59" s="6">
        <v>692335</v>
      </c>
      <c r="H59" s="6">
        <v>692335</v>
      </c>
      <c r="I59" s="6">
        <f t="shared" si="2"/>
        <v>0</v>
      </c>
      <c r="J59" s="6">
        <v>661375</v>
      </c>
      <c r="K59" s="6">
        <v>661375</v>
      </c>
      <c r="L59" s="6">
        <f t="shared" si="3"/>
        <v>0</v>
      </c>
      <c r="M59" s="5"/>
      <c r="N59" s="5"/>
      <c r="O59" s="6"/>
      <c r="P59" s="5"/>
      <c r="Q59" s="5"/>
      <c r="R59" s="5"/>
      <c r="S59" s="5"/>
      <c r="T59" s="5"/>
      <c r="U59" s="5"/>
      <c r="V59" s="5"/>
      <c r="W59" s="5"/>
      <c r="X59" s="5"/>
      <c r="Y59" s="5"/>
      <c r="Z59" s="5"/>
      <c r="AA59" s="5"/>
      <c r="AB59" s="5"/>
      <c r="AC59" s="5"/>
      <c r="AD59" s="5"/>
    </row>
    <row r="60" spans="1:30" s="3" customFormat="1">
      <c r="A60" s="5" t="s">
        <v>1437</v>
      </c>
      <c r="B60" s="5" t="s">
        <v>285</v>
      </c>
      <c r="C60" s="5" t="s">
        <v>219</v>
      </c>
      <c r="D60" s="5" t="s">
        <v>220</v>
      </c>
      <c r="E60" s="6">
        <v>75000</v>
      </c>
      <c r="F60" s="6">
        <v>75000</v>
      </c>
      <c r="G60" s="6">
        <v>6250000</v>
      </c>
      <c r="H60" s="6">
        <v>200001</v>
      </c>
      <c r="I60" s="6">
        <f>H60-G60</f>
        <v>-6049999</v>
      </c>
      <c r="J60" s="6">
        <v>5250000</v>
      </c>
      <c r="K60" s="6">
        <v>200001</v>
      </c>
      <c r="L60" s="6">
        <f t="shared" si="3"/>
        <v>-5049999</v>
      </c>
      <c r="M60" s="3" t="s">
        <v>129</v>
      </c>
      <c r="N60" s="5"/>
      <c r="O60" s="6"/>
      <c r="P60" s="5"/>
      <c r="Q60" s="5"/>
      <c r="R60" s="6">
        <f>I60+L60</f>
        <v>-11099998</v>
      </c>
      <c r="S60" s="5"/>
      <c r="T60" s="5"/>
      <c r="U60" s="5"/>
      <c r="V60" s="5"/>
      <c r="W60" s="5"/>
      <c r="X60" s="5"/>
      <c r="Y60" s="5"/>
      <c r="Z60" s="5"/>
      <c r="AA60" s="5"/>
      <c r="AB60" s="5"/>
      <c r="AC60" s="5"/>
      <c r="AD60" s="5"/>
    </row>
    <row r="61" spans="1:30" s="3" customFormat="1">
      <c r="A61" s="5" t="s">
        <v>1437</v>
      </c>
      <c r="B61" s="5" t="s">
        <v>286</v>
      </c>
      <c r="C61" s="5" t="s">
        <v>221</v>
      </c>
      <c r="D61" s="5" t="s">
        <v>222</v>
      </c>
      <c r="E61" s="6"/>
      <c r="F61" s="6"/>
      <c r="G61" s="6">
        <v>130430</v>
      </c>
      <c r="H61" s="6">
        <v>130430</v>
      </c>
      <c r="I61" s="6">
        <f t="shared" si="2"/>
        <v>0</v>
      </c>
      <c r="J61" s="6">
        <v>130430</v>
      </c>
      <c r="K61" s="6">
        <v>130430</v>
      </c>
      <c r="L61" s="6">
        <f t="shared" si="3"/>
        <v>0</v>
      </c>
      <c r="M61" s="5"/>
      <c r="N61" s="5"/>
      <c r="O61" s="6"/>
      <c r="P61" s="5"/>
      <c r="Q61" s="5"/>
      <c r="R61" s="5"/>
      <c r="S61" s="5"/>
      <c r="T61" s="5"/>
      <c r="U61" s="5"/>
      <c r="V61" s="5"/>
      <c r="W61" s="5"/>
      <c r="X61" s="5"/>
      <c r="Y61" s="5"/>
      <c r="Z61" s="5"/>
      <c r="AA61" s="5"/>
      <c r="AB61" s="5"/>
      <c r="AC61" s="5"/>
      <c r="AD61" s="5"/>
    </row>
    <row r="62" spans="1:30" s="3" customFormat="1">
      <c r="A62" s="5" t="s">
        <v>1437</v>
      </c>
      <c r="B62" s="5" t="s">
        <v>287</v>
      </c>
      <c r="C62" s="5" t="s">
        <v>223</v>
      </c>
      <c r="D62" s="5" t="s">
        <v>224</v>
      </c>
      <c r="E62" s="6"/>
      <c r="F62" s="6"/>
      <c r="G62" s="6">
        <v>1100</v>
      </c>
      <c r="H62" s="6">
        <v>1100</v>
      </c>
      <c r="I62" s="6">
        <f t="shared" si="2"/>
        <v>0</v>
      </c>
      <c r="J62" s="6">
        <v>1100</v>
      </c>
      <c r="K62" s="6">
        <v>1100</v>
      </c>
      <c r="L62" s="6">
        <f t="shared" si="3"/>
        <v>0</v>
      </c>
      <c r="M62" s="5"/>
      <c r="N62" s="5"/>
      <c r="O62" s="6"/>
      <c r="P62" s="5"/>
      <c r="Q62" s="5"/>
      <c r="R62" s="5"/>
      <c r="S62" s="5"/>
      <c r="T62" s="5"/>
      <c r="U62" s="5"/>
      <c r="V62" s="5"/>
      <c r="W62" s="5"/>
      <c r="X62" s="5"/>
      <c r="Y62" s="5"/>
      <c r="Z62" s="5"/>
      <c r="AA62" s="5"/>
      <c r="AB62" s="5"/>
      <c r="AC62" s="5"/>
      <c r="AD62" s="5"/>
    </row>
    <row r="63" spans="1:30" s="3" customFormat="1">
      <c r="A63" s="5" t="s">
        <v>1437</v>
      </c>
      <c r="B63" s="5" t="s">
        <v>288</v>
      </c>
      <c r="C63" s="5" t="s">
        <v>225</v>
      </c>
      <c r="D63" s="5" t="s">
        <v>226</v>
      </c>
      <c r="E63" s="6">
        <v>8880139</v>
      </c>
      <c r="F63" s="6">
        <v>8361928</v>
      </c>
      <c r="G63" s="6">
        <v>9834818</v>
      </c>
      <c r="H63" s="6">
        <f>F63*1.06</f>
        <v>8863643.6799999997</v>
      </c>
      <c r="I63" s="6">
        <f t="shared" si="2"/>
        <v>-971174.3200000003</v>
      </c>
      <c r="J63" s="6">
        <v>9966426</v>
      </c>
      <c r="K63" s="6">
        <f>H63*1.02</f>
        <v>9040916.5536000002</v>
      </c>
      <c r="L63" s="6">
        <f t="shared" si="3"/>
        <v>-925509.44639999978</v>
      </c>
      <c r="M63" s="4" t="s">
        <v>1444</v>
      </c>
      <c r="N63" s="5"/>
      <c r="O63" s="6"/>
      <c r="Q63" s="5"/>
      <c r="R63" s="5"/>
      <c r="S63" s="5"/>
      <c r="T63" s="5"/>
      <c r="U63" s="6">
        <f>I63+L63</f>
        <v>-1896683.7664000001</v>
      </c>
      <c r="V63" s="5"/>
      <c r="W63" s="5"/>
      <c r="X63" s="5"/>
      <c r="Y63" s="5"/>
      <c r="Z63" s="5"/>
      <c r="AA63" s="5"/>
      <c r="AB63" s="5"/>
      <c r="AC63" s="5"/>
      <c r="AD63" s="5"/>
    </row>
    <row r="64" spans="1:30" s="3" customFormat="1">
      <c r="A64" s="5" t="s">
        <v>1437</v>
      </c>
      <c r="B64" s="5" t="s">
        <v>289</v>
      </c>
      <c r="C64" s="5" t="s">
        <v>227</v>
      </c>
      <c r="D64" s="5" t="s">
        <v>228</v>
      </c>
      <c r="E64" s="6"/>
      <c r="F64" s="6"/>
      <c r="G64" s="6">
        <v>3515858</v>
      </c>
      <c r="H64" s="6">
        <v>3515858</v>
      </c>
      <c r="I64" s="6">
        <f t="shared" si="2"/>
        <v>0</v>
      </c>
      <c r="J64" s="6">
        <v>2578910</v>
      </c>
      <c r="K64" s="6">
        <v>2578910</v>
      </c>
      <c r="L64" s="6">
        <f t="shared" si="3"/>
        <v>0</v>
      </c>
      <c r="M64" s="5"/>
      <c r="N64" s="5"/>
      <c r="O64" s="6"/>
      <c r="P64" s="5"/>
      <c r="Q64" s="5"/>
      <c r="R64" s="5"/>
      <c r="S64" s="5"/>
      <c r="T64" s="5"/>
      <c r="U64" s="5"/>
      <c r="V64" s="5"/>
      <c r="W64" s="5"/>
      <c r="X64" s="5"/>
      <c r="Y64" s="5"/>
      <c r="Z64" s="5"/>
      <c r="AA64" s="5"/>
      <c r="AB64" s="5"/>
      <c r="AC64" s="5"/>
      <c r="AD64" s="5"/>
    </row>
    <row r="65" spans="1:30" s="3" customFormat="1">
      <c r="A65" s="5" t="s">
        <v>1437</v>
      </c>
      <c r="B65" s="5" t="s">
        <v>290</v>
      </c>
      <c r="C65" s="5" t="s">
        <v>229</v>
      </c>
      <c r="D65" s="5" t="s">
        <v>230</v>
      </c>
      <c r="E65" s="6">
        <v>1067816</v>
      </c>
      <c r="F65" s="6">
        <v>737273</v>
      </c>
      <c r="G65" s="6">
        <v>2031001</v>
      </c>
      <c r="H65" s="6">
        <v>2031001</v>
      </c>
      <c r="I65" s="6">
        <f t="shared" si="2"/>
        <v>0</v>
      </c>
      <c r="J65" s="6">
        <v>1783513</v>
      </c>
      <c r="K65" s="6">
        <v>1783513</v>
      </c>
      <c r="L65" s="6">
        <f t="shared" si="3"/>
        <v>0</v>
      </c>
      <c r="M65" s="5"/>
      <c r="N65" s="5"/>
      <c r="O65" s="6"/>
      <c r="P65" s="6"/>
      <c r="Q65" s="5"/>
      <c r="R65" s="5"/>
      <c r="S65" s="5"/>
      <c r="T65" s="5"/>
      <c r="U65" s="5"/>
      <c r="V65" s="5"/>
      <c r="W65" s="5"/>
      <c r="X65" s="5"/>
      <c r="Y65" s="5"/>
      <c r="Z65" s="5"/>
      <c r="AA65" s="5"/>
      <c r="AB65" s="5"/>
      <c r="AC65" s="5"/>
      <c r="AD65" s="5"/>
    </row>
    <row r="66" spans="1:30" s="3" customFormat="1">
      <c r="A66" s="5" t="s">
        <v>1437</v>
      </c>
      <c r="B66" s="5" t="s">
        <v>291</v>
      </c>
      <c r="C66" s="5" t="s">
        <v>231</v>
      </c>
      <c r="D66" s="5" t="s">
        <v>232</v>
      </c>
      <c r="E66" s="6">
        <v>4075229</v>
      </c>
      <c r="F66" s="6">
        <v>4000922</v>
      </c>
      <c r="G66" s="6">
        <v>10166429</v>
      </c>
      <c r="H66" s="6">
        <v>10166429</v>
      </c>
      <c r="I66" s="6">
        <f t="shared" si="2"/>
        <v>0</v>
      </c>
      <c r="J66" s="6">
        <v>9916608</v>
      </c>
      <c r="K66" s="6">
        <v>9916608</v>
      </c>
      <c r="L66" s="6">
        <f t="shared" si="3"/>
        <v>0</v>
      </c>
      <c r="M66" s="5"/>
      <c r="N66" s="5"/>
      <c r="O66" s="6"/>
      <c r="P66" s="6"/>
      <c r="Q66" s="5"/>
      <c r="R66" s="5"/>
      <c r="S66" s="5"/>
      <c r="T66" s="5"/>
      <c r="U66" s="5"/>
      <c r="V66" s="5"/>
      <c r="W66" s="5"/>
      <c r="X66" s="5"/>
      <c r="Y66" s="5"/>
      <c r="Z66" s="5"/>
      <c r="AA66" s="5"/>
      <c r="AB66" s="5"/>
      <c r="AC66" s="5"/>
      <c r="AD66" s="5"/>
    </row>
    <row r="67" spans="1:30" s="3" customFormat="1">
      <c r="A67" s="5" t="s">
        <v>1437</v>
      </c>
      <c r="B67" s="5" t="s">
        <v>292</v>
      </c>
      <c r="C67" s="5" t="s">
        <v>233</v>
      </c>
      <c r="D67" s="5" t="s">
        <v>234</v>
      </c>
      <c r="E67" s="6">
        <v>13873991</v>
      </c>
      <c r="F67" s="6">
        <v>12338273</v>
      </c>
      <c r="G67" s="6">
        <v>16231047</v>
      </c>
      <c r="H67" s="6">
        <v>16231047</v>
      </c>
      <c r="I67" s="6">
        <f t="shared" si="2"/>
        <v>0</v>
      </c>
      <c r="J67" s="6">
        <v>16012657</v>
      </c>
      <c r="K67" s="6">
        <v>16012657</v>
      </c>
      <c r="L67" s="6">
        <f t="shared" si="3"/>
        <v>0</v>
      </c>
      <c r="M67" s="52"/>
      <c r="N67" s="5"/>
      <c r="O67" s="6"/>
      <c r="P67" s="6"/>
      <c r="Q67" s="5"/>
      <c r="R67" s="5"/>
      <c r="S67" s="5"/>
      <c r="T67" s="5"/>
      <c r="U67" s="5"/>
      <c r="V67" s="5"/>
      <c r="W67" s="5"/>
      <c r="X67" s="5"/>
      <c r="Y67" s="5"/>
      <c r="Z67" s="5"/>
      <c r="AA67" s="5"/>
      <c r="AB67" s="5"/>
      <c r="AC67" s="5"/>
      <c r="AD67" s="5"/>
    </row>
    <row r="68" spans="1:30" s="3" customFormat="1">
      <c r="A68" s="5" t="s">
        <v>1437</v>
      </c>
      <c r="B68" s="5" t="s">
        <v>293</v>
      </c>
      <c r="C68" s="5" t="s">
        <v>235</v>
      </c>
      <c r="D68" s="5" t="s">
        <v>236</v>
      </c>
      <c r="E68" s="6">
        <v>3260341</v>
      </c>
      <c r="F68" s="6">
        <v>3153869</v>
      </c>
      <c r="G68" s="6">
        <v>6169570</v>
      </c>
      <c r="H68" s="6">
        <v>6169570</v>
      </c>
      <c r="I68" s="6">
        <f t="shared" si="2"/>
        <v>0</v>
      </c>
      <c r="J68" s="6">
        <v>5564443</v>
      </c>
      <c r="K68" s="6">
        <v>5564443</v>
      </c>
      <c r="L68" s="6">
        <f t="shared" si="3"/>
        <v>0</v>
      </c>
      <c r="M68" s="5"/>
      <c r="N68" s="5"/>
      <c r="O68" s="6"/>
      <c r="P68" s="6"/>
      <c r="Q68" s="5"/>
      <c r="R68" s="5"/>
      <c r="S68" s="5"/>
      <c r="T68" s="5"/>
      <c r="U68" s="5"/>
      <c r="V68" s="5"/>
      <c r="W68" s="5"/>
      <c r="X68" s="5"/>
      <c r="Y68" s="5"/>
      <c r="Z68" s="5"/>
      <c r="AA68" s="5"/>
      <c r="AB68" s="5"/>
      <c r="AC68" s="5"/>
      <c r="AD68" s="5"/>
    </row>
    <row r="69" spans="1:30" s="3" customFormat="1">
      <c r="A69" s="5" t="s">
        <v>1437</v>
      </c>
      <c r="B69" s="5" t="s">
        <v>294</v>
      </c>
      <c r="C69" s="5" t="s">
        <v>237</v>
      </c>
      <c r="D69" s="5" t="s">
        <v>238</v>
      </c>
      <c r="E69" s="6">
        <v>3576646</v>
      </c>
      <c r="F69" s="6">
        <v>3266116</v>
      </c>
      <c r="G69" s="6">
        <v>4079008</v>
      </c>
      <c r="H69" s="6">
        <v>4079008</v>
      </c>
      <c r="I69" s="6">
        <f t="shared" ref="I69:I133" si="4">H69-G69</f>
        <v>0</v>
      </c>
      <c r="J69" s="6">
        <v>4030486</v>
      </c>
      <c r="K69" s="6">
        <v>4030486</v>
      </c>
      <c r="L69" s="6">
        <f t="shared" ref="L69:L133" si="5">K69-J69</f>
        <v>0</v>
      </c>
      <c r="M69" s="5"/>
      <c r="N69" s="5"/>
      <c r="O69" s="6"/>
      <c r="P69" s="5"/>
      <c r="Q69" s="5"/>
      <c r="R69" s="5"/>
      <c r="S69" s="5"/>
      <c r="T69" s="5"/>
      <c r="U69" s="5"/>
      <c r="V69" s="5"/>
      <c r="W69" s="5"/>
      <c r="X69" s="5"/>
      <c r="Y69" s="5"/>
      <c r="Z69" s="5"/>
      <c r="AA69" s="5"/>
      <c r="AB69" s="5"/>
      <c r="AC69" s="5"/>
      <c r="AD69" s="5"/>
    </row>
    <row r="70" spans="1:30" s="3" customFormat="1">
      <c r="A70" s="5" t="s">
        <v>1437</v>
      </c>
      <c r="B70" s="5" t="s">
        <v>295</v>
      </c>
      <c r="C70" s="5" t="s">
        <v>239</v>
      </c>
      <c r="D70" s="5" t="s">
        <v>240</v>
      </c>
      <c r="E70" s="6">
        <v>2903235</v>
      </c>
      <c r="F70" s="6">
        <v>3047745</v>
      </c>
      <c r="G70" s="6">
        <v>3959361</v>
      </c>
      <c r="H70" s="6">
        <v>3959361</v>
      </c>
      <c r="I70" s="6">
        <f t="shared" si="4"/>
        <v>0</v>
      </c>
      <c r="J70" s="6">
        <v>9750107</v>
      </c>
      <c r="K70" s="6">
        <f>J70-6000000</f>
        <v>3750107</v>
      </c>
      <c r="L70" s="6">
        <f t="shared" si="5"/>
        <v>-6000000</v>
      </c>
      <c r="M70" s="4" t="s">
        <v>1602</v>
      </c>
      <c r="N70" s="5"/>
      <c r="O70" s="6"/>
      <c r="P70" s="6">
        <v>-2100000</v>
      </c>
      <c r="Q70" s="6"/>
      <c r="R70" s="6"/>
      <c r="S70" s="6"/>
      <c r="T70" s="6"/>
      <c r="U70" s="6">
        <v>-3900000</v>
      </c>
      <c r="V70" s="6"/>
      <c r="W70" s="6"/>
      <c r="X70" s="5"/>
      <c r="Y70" s="5"/>
      <c r="Z70" s="5"/>
      <c r="AA70" s="5"/>
      <c r="AB70" s="5"/>
      <c r="AC70" s="5"/>
      <c r="AD70" s="5"/>
    </row>
    <row r="71" spans="1:30" s="3" customFormat="1">
      <c r="A71" s="5" t="s">
        <v>1437</v>
      </c>
      <c r="B71" s="5" t="s">
        <v>296</v>
      </c>
      <c r="C71" s="5" t="s">
        <v>241</v>
      </c>
      <c r="D71" s="5" t="s">
        <v>242</v>
      </c>
      <c r="E71" s="6">
        <v>1032697</v>
      </c>
      <c r="F71" s="6">
        <v>969508</v>
      </c>
      <c r="G71" s="6">
        <v>2256368</v>
      </c>
      <c r="H71" s="6">
        <v>2256368</v>
      </c>
      <c r="I71" s="6">
        <f t="shared" si="4"/>
        <v>0</v>
      </c>
      <c r="J71" s="6">
        <v>2279355</v>
      </c>
      <c r="K71" s="6">
        <v>2279355</v>
      </c>
      <c r="L71" s="6">
        <f t="shared" si="5"/>
        <v>0</v>
      </c>
      <c r="M71" s="5"/>
      <c r="N71" s="5"/>
      <c r="O71" s="6"/>
      <c r="P71" s="6"/>
      <c r="Q71" s="5"/>
      <c r="R71" s="5"/>
      <c r="S71" s="5"/>
      <c r="T71" s="5"/>
      <c r="U71" s="5"/>
      <c r="V71" s="5"/>
      <c r="W71" s="5"/>
      <c r="X71" s="5"/>
      <c r="Y71" s="5"/>
      <c r="Z71" s="5"/>
      <c r="AA71" s="5"/>
      <c r="AB71" s="5"/>
      <c r="AC71" s="5"/>
      <c r="AD71" s="5"/>
    </row>
    <row r="72" spans="1:30" s="3" customFormat="1">
      <c r="A72" s="5" t="s">
        <v>1437</v>
      </c>
      <c r="B72" s="5" t="s">
        <v>297</v>
      </c>
      <c r="C72" s="5" t="s">
        <v>243</v>
      </c>
      <c r="D72" s="5" t="s">
        <v>244</v>
      </c>
      <c r="E72" s="6"/>
      <c r="F72" s="6"/>
      <c r="G72" s="6">
        <v>0</v>
      </c>
      <c r="H72" s="6">
        <v>0</v>
      </c>
      <c r="I72" s="6">
        <f t="shared" si="4"/>
        <v>0</v>
      </c>
      <c r="J72" s="6">
        <v>0</v>
      </c>
      <c r="K72" s="6">
        <v>0</v>
      </c>
      <c r="L72" s="6">
        <f t="shared" si="5"/>
        <v>0</v>
      </c>
      <c r="M72" s="5"/>
      <c r="N72" s="5"/>
      <c r="O72" s="6"/>
      <c r="P72" s="5"/>
      <c r="Q72" s="5"/>
      <c r="R72" s="5"/>
      <c r="S72" s="5"/>
      <c r="T72" s="5"/>
      <c r="U72" s="5"/>
      <c r="V72" s="5"/>
      <c r="W72" s="5"/>
      <c r="X72" s="5"/>
      <c r="Y72" s="5"/>
      <c r="Z72" s="5"/>
      <c r="AA72" s="5"/>
      <c r="AB72" s="5"/>
      <c r="AC72" s="5"/>
      <c r="AD72" s="5"/>
    </row>
    <row r="73" spans="1:30" s="3" customFormat="1">
      <c r="A73" s="5" t="s">
        <v>1437</v>
      </c>
      <c r="B73" s="5" t="s">
        <v>298</v>
      </c>
      <c r="C73" s="5" t="s">
        <v>245</v>
      </c>
      <c r="D73" s="5" t="s">
        <v>246</v>
      </c>
      <c r="E73" s="6">
        <v>2534107</v>
      </c>
      <c r="F73" s="6">
        <v>2805634</v>
      </c>
      <c r="G73" s="6">
        <v>3132661</v>
      </c>
      <c r="H73" s="6">
        <f>F73*1.06</f>
        <v>2973972.04</v>
      </c>
      <c r="I73" s="6">
        <f t="shared" si="4"/>
        <v>-158688.95999999996</v>
      </c>
      <c r="J73" s="6">
        <v>3012280</v>
      </c>
      <c r="K73" s="6">
        <v>3012280</v>
      </c>
      <c r="L73" s="6">
        <f t="shared" si="5"/>
        <v>0</v>
      </c>
      <c r="M73" s="4" t="s">
        <v>1456</v>
      </c>
      <c r="N73" s="5"/>
      <c r="O73" s="6"/>
      <c r="P73" s="5"/>
      <c r="Q73" s="5"/>
      <c r="R73" s="5"/>
      <c r="S73" s="5"/>
      <c r="T73" s="5"/>
      <c r="U73" s="6">
        <f>I73+L73</f>
        <v>-158688.95999999996</v>
      </c>
      <c r="V73" s="5"/>
      <c r="W73" s="5"/>
      <c r="X73" s="5"/>
      <c r="Y73" s="5"/>
      <c r="Z73" s="5"/>
      <c r="AA73" s="5"/>
      <c r="AB73" s="5"/>
      <c r="AC73" s="5"/>
      <c r="AD73" s="5"/>
    </row>
    <row r="74" spans="1:30" s="3" customFormat="1">
      <c r="A74" s="5" t="s">
        <v>1437</v>
      </c>
      <c r="B74" s="5" t="s">
        <v>299</v>
      </c>
      <c r="C74" s="5" t="s">
        <v>247</v>
      </c>
      <c r="D74" s="5" t="s">
        <v>248</v>
      </c>
      <c r="E74" s="6"/>
      <c r="F74" s="6"/>
      <c r="G74" s="63">
        <v>378768</v>
      </c>
      <c r="H74" s="63">
        <v>378768</v>
      </c>
      <c r="I74" s="6">
        <f>H74-G74</f>
        <v>0</v>
      </c>
      <c r="J74" s="6">
        <v>391173</v>
      </c>
      <c r="K74" s="6">
        <v>391173</v>
      </c>
      <c r="L74" s="6">
        <f t="shared" si="5"/>
        <v>0</v>
      </c>
      <c r="M74" s="5"/>
      <c r="N74" s="5"/>
      <c r="O74" s="6"/>
      <c r="P74" s="5"/>
      <c r="Q74" s="5"/>
      <c r="R74" s="5"/>
      <c r="S74" s="5"/>
      <c r="T74" s="5"/>
      <c r="U74" s="5"/>
      <c r="V74" s="5"/>
      <c r="W74" s="5"/>
      <c r="X74" s="5"/>
      <c r="Y74" s="5"/>
      <c r="Z74" s="5"/>
      <c r="AA74" s="5"/>
      <c r="AB74" s="5"/>
      <c r="AC74" s="5"/>
      <c r="AD74" s="5"/>
    </row>
    <row r="75" spans="1:30" s="3" customFormat="1">
      <c r="A75" s="5" t="s">
        <v>1437</v>
      </c>
      <c r="B75" s="5" t="s">
        <v>300</v>
      </c>
      <c r="C75" s="5" t="s">
        <v>249</v>
      </c>
      <c r="D75" s="5" t="s">
        <v>250</v>
      </c>
      <c r="E75" s="6"/>
      <c r="F75" s="6"/>
      <c r="G75" s="6">
        <v>1020579</v>
      </c>
      <c r="H75" s="6">
        <v>1020579</v>
      </c>
      <c r="I75" s="6">
        <f t="shared" si="4"/>
        <v>0</v>
      </c>
      <c r="J75" s="6">
        <v>1124653</v>
      </c>
      <c r="K75" s="6">
        <v>1037896</v>
      </c>
      <c r="L75" s="6">
        <f t="shared" si="5"/>
        <v>-86757</v>
      </c>
      <c r="M75" s="4" t="s">
        <v>129</v>
      </c>
      <c r="N75" s="5"/>
      <c r="O75" s="6"/>
      <c r="P75" s="5"/>
      <c r="Q75" s="5"/>
      <c r="R75" s="5"/>
      <c r="S75" s="5"/>
      <c r="T75" s="5"/>
      <c r="U75" s="5"/>
      <c r="V75" s="5"/>
      <c r="W75" s="6">
        <f>I75+L75</f>
        <v>-86757</v>
      </c>
      <c r="X75" s="5"/>
      <c r="Y75" s="5"/>
      <c r="Z75" s="5"/>
      <c r="AA75" s="5"/>
      <c r="AB75" s="5"/>
      <c r="AC75" s="5"/>
      <c r="AD75" s="5"/>
    </row>
    <row r="76" spans="1:30" s="3" customFormat="1">
      <c r="A76" s="5" t="s">
        <v>1437</v>
      </c>
      <c r="B76" s="5" t="s">
        <v>301</v>
      </c>
      <c r="C76" s="5" t="s">
        <v>251</v>
      </c>
      <c r="D76" s="5" t="s">
        <v>252</v>
      </c>
      <c r="E76" s="6"/>
      <c r="F76" s="6"/>
      <c r="G76" s="6">
        <v>4331361</v>
      </c>
      <c r="H76" s="6">
        <v>4244451</v>
      </c>
      <c r="I76" s="6">
        <f t="shared" si="4"/>
        <v>-86910</v>
      </c>
      <c r="J76" s="6">
        <v>4334813</v>
      </c>
      <c r="K76" s="6">
        <v>4320616</v>
      </c>
      <c r="L76" s="6">
        <f t="shared" si="5"/>
        <v>-14197</v>
      </c>
      <c r="M76" s="4" t="s">
        <v>129</v>
      </c>
      <c r="N76" s="5"/>
      <c r="O76" s="6"/>
      <c r="P76" s="5"/>
      <c r="Q76" s="5"/>
      <c r="R76" s="5"/>
      <c r="S76" s="5"/>
      <c r="T76" s="5"/>
      <c r="U76" s="5"/>
      <c r="V76" s="5"/>
      <c r="W76" s="6">
        <f>I76+L76</f>
        <v>-101107</v>
      </c>
      <c r="X76" s="5"/>
      <c r="Y76" s="5"/>
      <c r="Z76" s="5"/>
      <c r="AA76" s="5"/>
      <c r="AB76" s="5"/>
      <c r="AC76" s="5"/>
      <c r="AD76" s="5"/>
    </row>
    <row r="77" spans="1:30" s="3" customFormat="1">
      <c r="A77" s="5" t="s">
        <v>1437</v>
      </c>
      <c r="B77" s="5" t="s">
        <v>302</v>
      </c>
      <c r="C77" s="5" t="s">
        <v>253</v>
      </c>
      <c r="D77" s="5" t="s">
        <v>254</v>
      </c>
      <c r="E77" s="6">
        <v>235720</v>
      </c>
      <c r="F77" s="6">
        <v>240881</v>
      </c>
      <c r="G77" s="6">
        <v>344919</v>
      </c>
      <c r="H77" s="6">
        <f>F77*1.06</f>
        <v>255333.86000000002</v>
      </c>
      <c r="I77" s="6">
        <f t="shared" si="4"/>
        <v>-89585.139999999985</v>
      </c>
      <c r="J77" s="6">
        <v>349761</v>
      </c>
      <c r="K77" s="6">
        <f>H77*1.02</f>
        <v>260440.53720000002</v>
      </c>
      <c r="L77" s="6">
        <f t="shared" si="5"/>
        <v>-89320.462799999979</v>
      </c>
      <c r="M77" s="3" t="s">
        <v>1444</v>
      </c>
      <c r="N77" s="5"/>
      <c r="O77" s="6"/>
      <c r="P77" s="6">
        <f>I77+L77</f>
        <v>-178905.60279999996</v>
      </c>
      <c r="Q77" s="5"/>
      <c r="R77" s="5"/>
      <c r="S77" s="5"/>
      <c r="T77" s="5"/>
      <c r="U77" s="5"/>
      <c r="V77" s="5"/>
      <c r="W77" s="5"/>
      <c r="X77" s="5"/>
      <c r="Y77" s="5"/>
      <c r="Z77" s="5"/>
      <c r="AA77" s="5"/>
      <c r="AB77" s="5"/>
      <c r="AC77" s="5"/>
      <c r="AD77" s="5"/>
    </row>
    <row r="78" spans="1:30" s="3" customFormat="1">
      <c r="A78" s="5" t="s">
        <v>1437</v>
      </c>
      <c r="B78" s="5" t="s">
        <v>303</v>
      </c>
      <c r="C78" s="5" t="s">
        <v>255</v>
      </c>
      <c r="D78" s="5" t="s">
        <v>256</v>
      </c>
      <c r="E78" s="6"/>
      <c r="F78" s="6"/>
      <c r="G78" s="6">
        <v>18490386</v>
      </c>
      <c r="H78" s="6">
        <v>18490386</v>
      </c>
      <c r="I78" s="6">
        <f t="shared" si="4"/>
        <v>0</v>
      </c>
      <c r="J78" s="6">
        <v>18168582</v>
      </c>
      <c r="K78" s="6">
        <v>18168582</v>
      </c>
      <c r="L78" s="6">
        <f t="shared" si="5"/>
        <v>0</v>
      </c>
      <c r="M78" s="5"/>
      <c r="N78" s="5"/>
      <c r="O78" s="6"/>
      <c r="P78" s="5"/>
      <c r="Q78" s="5"/>
      <c r="R78" s="5"/>
      <c r="S78" s="5"/>
      <c r="T78" s="5"/>
      <c r="U78" s="5"/>
      <c r="V78" s="5"/>
      <c r="W78" s="5"/>
      <c r="X78" s="5"/>
      <c r="Y78" s="5"/>
      <c r="Z78" s="5"/>
      <c r="AA78" s="5"/>
      <c r="AB78" s="5"/>
      <c r="AC78" s="5"/>
      <c r="AD78" s="5"/>
    </row>
    <row r="79" spans="1:30" s="3" customFormat="1">
      <c r="A79" s="5" t="s">
        <v>1437</v>
      </c>
      <c r="B79" s="5" t="s">
        <v>304</v>
      </c>
      <c r="C79" s="5" t="s">
        <v>257</v>
      </c>
      <c r="D79" s="5" t="s">
        <v>258</v>
      </c>
      <c r="E79" s="6"/>
      <c r="F79" s="6"/>
      <c r="G79" s="6">
        <v>1506591</v>
      </c>
      <c r="H79" s="6">
        <v>1506591</v>
      </c>
      <c r="I79" s="6">
        <f t="shared" si="4"/>
        <v>0</v>
      </c>
      <c r="J79" s="6">
        <v>1447024</v>
      </c>
      <c r="K79" s="6">
        <v>1447024</v>
      </c>
      <c r="L79" s="6">
        <f t="shared" si="5"/>
        <v>0</v>
      </c>
      <c r="M79" s="5"/>
      <c r="N79" s="5"/>
      <c r="O79" s="6"/>
      <c r="P79" s="5"/>
      <c r="Q79" s="5"/>
      <c r="R79" s="5"/>
      <c r="S79" s="5"/>
      <c r="T79" s="5"/>
      <c r="U79" s="5"/>
      <c r="V79" s="5"/>
      <c r="W79" s="5"/>
      <c r="X79" s="5"/>
      <c r="Y79" s="5"/>
      <c r="Z79" s="5"/>
      <c r="AA79" s="5"/>
      <c r="AB79" s="5"/>
      <c r="AC79" s="5"/>
      <c r="AD79" s="5"/>
    </row>
    <row r="80" spans="1:30" s="3" customFormat="1">
      <c r="A80" s="5" t="s">
        <v>1437</v>
      </c>
      <c r="B80" s="5" t="s">
        <v>305</v>
      </c>
      <c r="C80" s="5" t="s">
        <v>259</v>
      </c>
      <c r="D80" s="5" t="s">
        <v>260</v>
      </c>
      <c r="E80" s="6">
        <v>2695723</v>
      </c>
      <c r="F80" s="6">
        <v>2640784</v>
      </c>
      <c r="G80" s="6">
        <v>3076018</v>
      </c>
      <c r="H80" s="6">
        <f>F80*1.06</f>
        <v>2799231.04</v>
      </c>
      <c r="I80" s="6">
        <f t="shared" si="4"/>
        <v>-276786.95999999996</v>
      </c>
      <c r="J80" s="6">
        <v>3054865</v>
      </c>
      <c r="K80" s="6">
        <f>H80*1.02</f>
        <v>2855215.6608000002</v>
      </c>
      <c r="L80" s="6">
        <f t="shared" si="5"/>
        <v>-199649.33919999981</v>
      </c>
      <c r="M80" s="23" t="s">
        <v>1444</v>
      </c>
      <c r="N80" s="5"/>
      <c r="O80" s="6"/>
      <c r="P80" s="5"/>
      <c r="Q80" s="5"/>
      <c r="R80" s="5"/>
      <c r="S80" s="5"/>
      <c r="T80" s="5"/>
      <c r="U80" s="6">
        <f>I80+L80</f>
        <v>-476436.29919999978</v>
      </c>
      <c r="V80" s="5"/>
      <c r="W80" s="5"/>
      <c r="X80" s="5"/>
      <c r="Y80" s="5"/>
      <c r="Z80" s="5"/>
      <c r="AA80" s="5"/>
      <c r="AB80" s="5"/>
      <c r="AC80" s="5"/>
      <c r="AD80" s="5"/>
    </row>
    <row r="81" spans="1:30" s="3" customFormat="1">
      <c r="A81" s="5" t="s">
        <v>1437</v>
      </c>
      <c r="B81" s="5" t="s">
        <v>306</v>
      </c>
      <c r="C81" s="5" t="s">
        <v>261</v>
      </c>
      <c r="D81" s="5" t="s">
        <v>262</v>
      </c>
      <c r="E81" s="6"/>
      <c r="F81" s="6"/>
      <c r="G81" s="6">
        <v>26741604</v>
      </c>
      <c r="H81" s="6">
        <v>26547892</v>
      </c>
      <c r="I81" s="6">
        <f t="shared" si="4"/>
        <v>-193712</v>
      </c>
      <c r="J81" s="6">
        <v>26674678</v>
      </c>
      <c r="K81" s="6">
        <v>26657928</v>
      </c>
      <c r="L81" s="6">
        <f t="shared" si="5"/>
        <v>-16750</v>
      </c>
      <c r="M81" s="4" t="s">
        <v>129</v>
      </c>
      <c r="N81" s="5"/>
      <c r="O81" s="6"/>
      <c r="P81" s="5"/>
      <c r="Q81" s="5"/>
      <c r="R81" s="5"/>
      <c r="S81" s="5"/>
      <c r="T81" s="5"/>
      <c r="U81" s="5"/>
      <c r="V81" s="5"/>
      <c r="W81" s="6">
        <f>I81+L81</f>
        <v>-210462</v>
      </c>
      <c r="X81" s="5"/>
      <c r="Y81" s="5"/>
      <c r="Z81" s="5"/>
      <c r="AA81" s="5"/>
      <c r="AB81" s="5"/>
      <c r="AC81" s="5"/>
      <c r="AD81" s="5"/>
    </row>
    <row r="82" spans="1:30" s="3" customFormat="1">
      <c r="A82" s="5" t="s">
        <v>1437</v>
      </c>
      <c r="B82" s="5" t="s">
        <v>307</v>
      </c>
      <c r="C82" s="5" t="s">
        <v>263</v>
      </c>
      <c r="D82" s="5" t="s">
        <v>264</v>
      </c>
      <c r="E82" s="6">
        <v>4091730</v>
      </c>
      <c r="F82" s="6">
        <v>5462103</v>
      </c>
      <c r="G82" s="6">
        <v>6419505</v>
      </c>
      <c r="H82" s="6">
        <v>6419505</v>
      </c>
      <c r="I82" s="6">
        <f t="shared" si="4"/>
        <v>0</v>
      </c>
      <c r="J82" s="6">
        <v>6182524</v>
      </c>
      <c r="K82" s="6">
        <v>6182524</v>
      </c>
      <c r="L82" s="6">
        <f t="shared" si="5"/>
        <v>0</v>
      </c>
      <c r="M82" s="5"/>
      <c r="N82" s="5"/>
      <c r="O82" s="6"/>
      <c r="P82" s="6"/>
      <c r="Q82" s="5"/>
      <c r="R82" s="5"/>
      <c r="S82" s="5"/>
      <c r="T82" s="5"/>
      <c r="U82" s="5"/>
      <c r="V82" s="5"/>
      <c r="W82" s="5"/>
      <c r="X82" s="5"/>
      <c r="Y82" s="5"/>
      <c r="Z82" s="5"/>
      <c r="AA82" s="5"/>
      <c r="AB82" s="5"/>
      <c r="AC82" s="5"/>
      <c r="AD82" s="5"/>
    </row>
    <row r="83" spans="1:30" s="3" customFormat="1">
      <c r="A83" s="5" t="s">
        <v>1437</v>
      </c>
      <c r="B83" s="5" t="s">
        <v>308</v>
      </c>
      <c r="C83" s="5" t="s">
        <v>265</v>
      </c>
      <c r="D83" s="5" t="s">
        <v>266</v>
      </c>
      <c r="E83" s="6">
        <v>5723873</v>
      </c>
      <c r="F83" s="6">
        <v>2516347</v>
      </c>
      <c r="G83" s="6">
        <v>6116934</v>
      </c>
      <c r="H83" s="6">
        <f>G83-2548600</f>
        <v>3568334</v>
      </c>
      <c r="I83" s="6">
        <f>H83-G83</f>
        <v>-2548600</v>
      </c>
      <c r="J83" s="6">
        <v>2456531</v>
      </c>
      <c r="K83" s="6">
        <v>2456531</v>
      </c>
      <c r="L83" s="6">
        <f t="shared" si="5"/>
        <v>0</v>
      </c>
      <c r="M83" s="5" t="s">
        <v>1552</v>
      </c>
      <c r="N83" s="5"/>
      <c r="O83" s="6"/>
      <c r="P83" s="6">
        <f>I83+L83</f>
        <v>-2548600</v>
      </c>
      <c r="Q83" s="5"/>
      <c r="R83" s="5"/>
      <c r="S83" s="5"/>
      <c r="T83" s="5"/>
      <c r="U83" s="5"/>
      <c r="V83" s="5"/>
      <c r="W83" s="5"/>
      <c r="X83" s="5"/>
      <c r="Y83" s="5"/>
      <c r="Z83" s="5"/>
      <c r="AA83" s="5"/>
      <c r="AB83" s="5"/>
      <c r="AC83" s="5"/>
      <c r="AD83" s="5"/>
    </row>
    <row r="84" spans="1:30" s="3" customFormat="1">
      <c r="A84" s="5" t="s">
        <v>1437</v>
      </c>
      <c r="B84" s="5" t="s">
        <v>309</v>
      </c>
      <c r="C84" s="5" t="s">
        <v>267</v>
      </c>
      <c r="D84" s="5" t="s">
        <v>268</v>
      </c>
      <c r="E84" s="6"/>
      <c r="F84" s="6"/>
      <c r="G84" s="6">
        <v>4557579</v>
      </c>
      <c r="H84" s="6">
        <v>4557579</v>
      </c>
      <c r="I84" s="6">
        <f t="shared" si="4"/>
        <v>0</v>
      </c>
      <c r="J84" s="6">
        <v>4570812</v>
      </c>
      <c r="K84" s="6">
        <v>4570812</v>
      </c>
      <c r="L84" s="6">
        <f t="shared" si="5"/>
        <v>0</v>
      </c>
      <c r="M84" s="5"/>
      <c r="N84" s="5"/>
      <c r="O84" s="6"/>
      <c r="P84" s="5"/>
      <c r="Q84" s="5"/>
      <c r="R84" s="5"/>
      <c r="S84" s="5"/>
      <c r="T84" s="5"/>
      <c r="U84" s="5"/>
      <c r="V84" s="5"/>
      <c r="W84" s="5"/>
      <c r="X84" s="5"/>
      <c r="Y84" s="5"/>
      <c r="Z84" s="5"/>
      <c r="AA84" s="5"/>
      <c r="AB84" s="5"/>
      <c r="AC84" s="5"/>
      <c r="AD84" s="5"/>
    </row>
    <row r="85" spans="1:30" s="3" customFormat="1">
      <c r="A85" s="5" t="s">
        <v>1437</v>
      </c>
      <c r="B85" s="5" t="s">
        <v>310</v>
      </c>
      <c r="C85" s="5" t="s">
        <v>269</v>
      </c>
      <c r="D85" s="5" t="s">
        <v>270</v>
      </c>
      <c r="E85" s="6">
        <v>769107</v>
      </c>
      <c r="F85" s="6">
        <v>780702</v>
      </c>
      <c r="G85" s="6">
        <v>1568166</v>
      </c>
      <c r="H85" s="6">
        <f>F85*1.06</f>
        <v>827544.12</v>
      </c>
      <c r="I85" s="6">
        <f t="shared" si="4"/>
        <v>-740621.88</v>
      </c>
      <c r="J85" s="6">
        <v>1582777</v>
      </c>
      <c r="K85" s="6">
        <f>F85*1.02</f>
        <v>796316.04</v>
      </c>
      <c r="L85" s="6">
        <f t="shared" si="5"/>
        <v>-786460.96</v>
      </c>
      <c r="M85" s="5" t="s">
        <v>1444</v>
      </c>
      <c r="N85" s="5"/>
      <c r="O85" s="6"/>
      <c r="P85" s="6">
        <f>I85+L85</f>
        <v>-1527082.8399999999</v>
      </c>
      <c r="Q85" s="5"/>
      <c r="R85" s="5"/>
      <c r="S85" s="5"/>
      <c r="T85" s="5"/>
      <c r="U85" s="5"/>
      <c r="V85" s="5"/>
      <c r="W85" s="5"/>
      <c r="X85" s="5"/>
      <c r="Y85" s="5"/>
      <c r="Z85" s="5"/>
      <c r="AA85" s="5"/>
      <c r="AB85" s="5"/>
      <c r="AC85" s="5"/>
      <c r="AD85" s="5"/>
    </row>
    <row r="86" spans="1:30" s="3" customFormat="1">
      <c r="A86" s="5" t="s">
        <v>1437</v>
      </c>
      <c r="B86" s="5" t="s">
        <v>311</v>
      </c>
      <c r="C86" s="5" t="s">
        <v>272</v>
      </c>
      <c r="D86" s="5" t="s">
        <v>271</v>
      </c>
      <c r="E86" s="6">
        <v>239727</v>
      </c>
      <c r="F86" s="6">
        <v>240788</v>
      </c>
      <c r="G86" s="6">
        <v>369255</v>
      </c>
      <c r="H86" s="6">
        <f>F86*1.06</f>
        <v>255235.28</v>
      </c>
      <c r="I86" s="6">
        <f t="shared" si="4"/>
        <v>-114019.72</v>
      </c>
      <c r="J86" s="6">
        <v>371905</v>
      </c>
      <c r="K86" s="6">
        <f>H86*1.02</f>
        <v>260339.98560000001</v>
      </c>
      <c r="L86" s="6">
        <f t="shared" si="5"/>
        <v>-111565.01439999999</v>
      </c>
      <c r="M86" s="5" t="s">
        <v>1444</v>
      </c>
      <c r="N86" s="5"/>
      <c r="O86" s="6"/>
      <c r="P86" s="6">
        <f>I86+L86</f>
        <v>-225584.73439999999</v>
      </c>
      <c r="Q86" s="5"/>
      <c r="R86" s="5"/>
      <c r="S86" s="5"/>
      <c r="T86" s="5"/>
      <c r="U86" s="5"/>
      <c r="V86" s="5"/>
      <c r="W86" s="5"/>
      <c r="X86" s="5"/>
      <c r="Y86" s="5"/>
      <c r="Z86" s="5"/>
      <c r="AA86" s="5"/>
      <c r="AB86" s="5"/>
      <c r="AC86" s="5"/>
      <c r="AD86" s="5"/>
    </row>
    <row r="87" spans="1:30" s="3" customFormat="1">
      <c r="A87" s="5" t="s">
        <v>1437</v>
      </c>
      <c r="B87" s="5" t="s">
        <v>312</v>
      </c>
      <c r="C87" s="5" t="s">
        <v>273</v>
      </c>
      <c r="D87" s="5" t="s">
        <v>274</v>
      </c>
      <c r="E87" s="6"/>
      <c r="F87" s="6"/>
      <c r="G87" s="6">
        <v>7437694</v>
      </c>
      <c r="H87" s="6">
        <v>7344321</v>
      </c>
      <c r="I87" s="6">
        <f t="shared" si="4"/>
        <v>-93373</v>
      </c>
      <c r="J87" s="6">
        <v>7267049</v>
      </c>
      <c r="K87" s="6">
        <v>7267049</v>
      </c>
      <c r="L87" s="6">
        <f t="shared" si="5"/>
        <v>0</v>
      </c>
      <c r="M87" s="5" t="s">
        <v>129</v>
      </c>
      <c r="N87" s="5"/>
      <c r="O87" s="6"/>
      <c r="P87" s="5"/>
      <c r="Q87" s="5"/>
      <c r="R87" s="6">
        <f>I87+L87</f>
        <v>-93373</v>
      </c>
      <c r="S87" s="5"/>
      <c r="T87" s="5"/>
      <c r="U87" s="5"/>
      <c r="V87" s="5"/>
      <c r="W87" s="5"/>
      <c r="X87" s="5"/>
      <c r="Y87" s="5"/>
      <c r="Z87" s="5"/>
      <c r="AA87" s="5"/>
      <c r="AB87" s="5"/>
      <c r="AC87" s="5"/>
      <c r="AD87" s="5"/>
    </row>
    <row r="88" spans="1:30" s="3" customFormat="1">
      <c r="A88" s="5" t="s">
        <v>1437</v>
      </c>
      <c r="B88" s="5" t="s">
        <v>313</v>
      </c>
      <c r="C88" s="5" t="s">
        <v>275</v>
      </c>
      <c r="D88" s="5" t="s">
        <v>276</v>
      </c>
      <c r="E88" s="6"/>
      <c r="F88" s="6"/>
      <c r="G88" s="6">
        <v>221668</v>
      </c>
      <c r="H88" s="6">
        <v>221604</v>
      </c>
      <c r="I88" s="6">
        <f t="shared" si="4"/>
        <v>-64</v>
      </c>
      <c r="J88" s="6">
        <v>175068</v>
      </c>
      <c r="K88" s="6">
        <v>149433</v>
      </c>
      <c r="L88" s="6">
        <f t="shared" si="5"/>
        <v>-25635</v>
      </c>
      <c r="M88" s="5" t="s">
        <v>129</v>
      </c>
      <c r="N88" s="5"/>
      <c r="O88" s="6"/>
      <c r="P88" s="5"/>
      <c r="Q88" s="5"/>
      <c r="R88" s="6">
        <f>I88+L88</f>
        <v>-25699</v>
      </c>
      <c r="S88" s="5"/>
      <c r="T88" s="5"/>
      <c r="U88" s="5"/>
      <c r="V88" s="5"/>
      <c r="W88" s="5"/>
      <c r="X88" s="5"/>
      <c r="Y88" s="5"/>
      <c r="Z88" s="5"/>
      <c r="AA88" s="5"/>
      <c r="AB88" s="5"/>
      <c r="AC88" s="5"/>
      <c r="AD88" s="5"/>
    </row>
    <row r="89" spans="1:30" s="3" customFormat="1">
      <c r="A89" s="5" t="s">
        <v>1437</v>
      </c>
      <c r="B89" s="5" t="s">
        <v>314</v>
      </c>
      <c r="C89" s="5" t="s">
        <v>277</v>
      </c>
      <c r="D89" s="5" t="s">
        <v>278</v>
      </c>
      <c r="E89" s="6"/>
      <c r="F89" s="6"/>
      <c r="G89" s="6">
        <v>36243</v>
      </c>
      <c r="H89" s="6">
        <v>36243</v>
      </c>
      <c r="I89" s="6">
        <f t="shared" si="4"/>
        <v>0</v>
      </c>
      <c r="J89" s="6">
        <v>41243</v>
      </c>
      <c r="K89" s="6">
        <v>41243</v>
      </c>
      <c r="L89" s="6">
        <f t="shared" si="5"/>
        <v>0</v>
      </c>
      <c r="M89" s="5"/>
      <c r="N89" s="5"/>
      <c r="O89" s="6"/>
      <c r="P89" s="5"/>
      <c r="Q89" s="5"/>
      <c r="R89" s="5"/>
      <c r="S89" s="5"/>
      <c r="T89" s="5"/>
      <c r="U89" s="5"/>
      <c r="V89" s="5"/>
      <c r="W89" s="5"/>
      <c r="X89" s="5"/>
      <c r="Y89" s="5"/>
      <c r="Z89" s="5"/>
      <c r="AA89" s="5"/>
      <c r="AB89" s="5"/>
      <c r="AC89" s="5"/>
      <c r="AD89" s="5"/>
    </row>
    <row r="90" spans="1:30" s="3" customFormat="1">
      <c r="A90" s="5" t="s">
        <v>1437</v>
      </c>
      <c r="B90" s="5" t="s">
        <v>315</v>
      </c>
      <c r="C90" s="5" t="s">
        <v>279</v>
      </c>
      <c r="D90" s="5" t="s">
        <v>280</v>
      </c>
      <c r="E90" s="6"/>
      <c r="F90" s="6"/>
      <c r="G90" s="6">
        <v>16601398</v>
      </c>
      <c r="H90" s="6">
        <f>G90-4126523</f>
        <v>12474875</v>
      </c>
      <c r="I90" s="6">
        <f t="shared" si="4"/>
        <v>-4126523</v>
      </c>
      <c r="J90" s="6">
        <v>16310073</v>
      </c>
      <c r="K90" s="6">
        <f>J90-3787052</f>
        <v>12523021</v>
      </c>
      <c r="L90" s="6">
        <f t="shared" si="5"/>
        <v>-3787052</v>
      </c>
      <c r="M90" s="4" t="s">
        <v>1458</v>
      </c>
      <c r="N90" s="5"/>
      <c r="O90" s="6">
        <v>3932325</v>
      </c>
      <c r="P90" s="5"/>
      <c r="Q90" s="5"/>
      <c r="R90" s="5"/>
      <c r="S90" s="5"/>
      <c r="T90" s="5"/>
      <c r="U90" s="5"/>
      <c r="V90" s="6">
        <f>I90+L90</f>
        <v>-7913575</v>
      </c>
      <c r="W90" s="5"/>
      <c r="X90" s="5"/>
      <c r="Y90" s="5"/>
      <c r="Z90" s="5"/>
      <c r="AA90" s="5"/>
      <c r="AB90" s="5"/>
      <c r="AC90" s="5"/>
      <c r="AD90" s="5"/>
    </row>
    <row r="91" spans="1:30" s="3" customFormat="1">
      <c r="A91" s="5" t="s">
        <v>1437</v>
      </c>
      <c r="B91" s="5" t="s">
        <v>316</v>
      </c>
      <c r="C91" s="5" t="s">
        <v>282</v>
      </c>
      <c r="D91" s="5" t="s">
        <v>281</v>
      </c>
      <c r="E91" s="6"/>
      <c r="F91" s="6"/>
      <c r="G91" s="6">
        <v>4831347</v>
      </c>
      <c r="H91" s="6">
        <v>4808226</v>
      </c>
      <c r="I91" s="6">
        <f t="shared" si="4"/>
        <v>-23121</v>
      </c>
      <c r="J91" s="6">
        <v>4725397</v>
      </c>
      <c r="K91" s="6">
        <v>4725397</v>
      </c>
      <c r="L91" s="6">
        <f t="shared" si="5"/>
        <v>0</v>
      </c>
      <c r="M91" s="4" t="s">
        <v>129</v>
      </c>
      <c r="N91" s="5"/>
      <c r="O91" s="6"/>
      <c r="P91" s="5"/>
      <c r="Q91" s="5"/>
      <c r="R91" s="5"/>
      <c r="S91" s="5"/>
      <c r="T91" s="5"/>
      <c r="U91" s="5"/>
      <c r="V91" s="5"/>
      <c r="W91" s="6">
        <f>I91+L91</f>
        <v>-23121</v>
      </c>
      <c r="X91" s="5"/>
      <c r="Y91" s="5"/>
      <c r="Z91" s="5"/>
      <c r="AA91" s="5"/>
      <c r="AB91" s="5"/>
      <c r="AC91" s="5"/>
      <c r="AD91" s="5"/>
    </row>
    <row r="92" spans="1:30">
      <c r="A92" s="5" t="s">
        <v>1437</v>
      </c>
      <c r="B92" s="5" t="s">
        <v>283</v>
      </c>
      <c r="C92" s="5" t="s">
        <v>317</v>
      </c>
      <c r="D92" s="5" t="s">
        <v>318</v>
      </c>
      <c r="G92" s="6">
        <v>0</v>
      </c>
      <c r="H92" s="6">
        <v>0</v>
      </c>
      <c r="I92" s="6">
        <f t="shared" si="4"/>
        <v>0</v>
      </c>
      <c r="J92" s="6">
        <v>0</v>
      </c>
      <c r="K92" s="6">
        <v>0</v>
      </c>
      <c r="L92" s="6">
        <f t="shared" si="5"/>
        <v>0</v>
      </c>
      <c r="M92" s="5"/>
    </row>
    <row r="93" spans="1:30">
      <c r="A93" s="5" t="s">
        <v>319</v>
      </c>
      <c r="B93" s="5" t="s">
        <v>319</v>
      </c>
      <c r="C93" s="5" t="s">
        <v>320</v>
      </c>
      <c r="D93" s="5" t="s">
        <v>321</v>
      </c>
      <c r="E93" s="6">
        <v>26513534</v>
      </c>
      <c r="F93" s="6">
        <v>26393917</v>
      </c>
      <c r="G93" s="6">
        <v>30904611</v>
      </c>
      <c r="H93" s="6">
        <f>F93*1.06</f>
        <v>27977552.02</v>
      </c>
      <c r="I93" s="6">
        <f t="shared" si="4"/>
        <v>-2927058.9800000004</v>
      </c>
      <c r="J93" s="6">
        <v>30623013</v>
      </c>
      <c r="K93" s="6">
        <f>H93*1.02</f>
        <v>28537103.060400002</v>
      </c>
      <c r="L93" s="6">
        <f t="shared" si="5"/>
        <v>-2085909.9395999983</v>
      </c>
      <c r="M93" t="s">
        <v>1459</v>
      </c>
      <c r="P93" s="6">
        <f>I93+L93</f>
        <v>-5012968.9195999987</v>
      </c>
    </row>
    <row r="94" spans="1:30">
      <c r="A94" s="5" t="s">
        <v>1435</v>
      </c>
      <c r="B94" s="5" t="s">
        <v>322</v>
      </c>
      <c r="C94" s="5" t="s">
        <v>323</v>
      </c>
      <c r="D94" s="5" t="s">
        <v>324</v>
      </c>
      <c r="G94" s="6">
        <v>1415577446</v>
      </c>
      <c r="H94" s="6">
        <f>G94-228058432</f>
        <v>1187519014</v>
      </c>
      <c r="I94" s="6">
        <f t="shared" si="4"/>
        <v>-228058432</v>
      </c>
      <c r="J94" s="6">
        <v>1419995840</v>
      </c>
      <c r="K94" s="6">
        <f>J94-279950322</f>
        <v>1140045518</v>
      </c>
      <c r="L94" s="6">
        <f t="shared" si="5"/>
        <v>-279950322</v>
      </c>
      <c r="M94" t="s">
        <v>1525</v>
      </c>
      <c r="N94" s="5" t="s">
        <v>1527</v>
      </c>
      <c r="Q94" s="6">
        <f>I94+L94</f>
        <v>-508008754</v>
      </c>
    </row>
    <row r="95" spans="1:30">
      <c r="A95" s="5" t="s">
        <v>1435</v>
      </c>
      <c r="B95" s="5" t="s">
        <v>322</v>
      </c>
      <c r="C95" s="5" t="s">
        <v>323</v>
      </c>
      <c r="D95" s="5" t="s">
        <v>324</v>
      </c>
      <c r="G95" s="6">
        <v>0</v>
      </c>
      <c r="H95" s="6">
        <v>182900000</v>
      </c>
      <c r="I95" s="6">
        <f t="shared" si="4"/>
        <v>182900000</v>
      </c>
      <c r="J95" s="6">
        <v>0</v>
      </c>
      <c r="K95" s="6">
        <v>206300000</v>
      </c>
      <c r="L95" s="6">
        <f t="shared" si="5"/>
        <v>206300000</v>
      </c>
      <c r="M95" s="19" t="s">
        <v>1531</v>
      </c>
      <c r="T95" s="6">
        <f>I95+L95</f>
        <v>389200000</v>
      </c>
    </row>
    <row r="96" spans="1:30">
      <c r="A96" s="5" t="s">
        <v>1435</v>
      </c>
      <c r="B96" s="5" t="s">
        <v>325</v>
      </c>
      <c r="C96" s="5" t="s">
        <v>326</v>
      </c>
      <c r="D96" s="5" t="s">
        <v>327</v>
      </c>
      <c r="G96" s="60">
        <v>101042661</v>
      </c>
      <c r="H96" s="6">
        <v>36612904</v>
      </c>
      <c r="I96" s="6">
        <f t="shared" si="4"/>
        <v>-64429757</v>
      </c>
      <c r="J96" s="6">
        <v>133422209</v>
      </c>
      <c r="K96" s="6">
        <v>36612904</v>
      </c>
      <c r="L96" s="6">
        <f t="shared" si="5"/>
        <v>-96809305</v>
      </c>
      <c r="M96" s="5" t="s">
        <v>1526</v>
      </c>
      <c r="Q96" s="6">
        <f>I96+L96</f>
        <v>-161239062</v>
      </c>
    </row>
    <row r="97" spans="1:30" s="3" customFormat="1">
      <c r="A97" s="5" t="s">
        <v>1435</v>
      </c>
      <c r="B97" s="5" t="s">
        <v>328</v>
      </c>
      <c r="C97" s="5" t="s">
        <v>329</v>
      </c>
      <c r="D97" s="5" t="s">
        <v>330</v>
      </c>
      <c r="E97" s="6"/>
      <c r="F97" s="6"/>
      <c r="G97" s="6">
        <v>168428366</v>
      </c>
      <c r="H97" s="6">
        <v>0</v>
      </c>
      <c r="I97" s="6">
        <f t="shared" si="4"/>
        <v>-168428366</v>
      </c>
      <c r="J97" s="6">
        <v>195320167</v>
      </c>
      <c r="K97" s="6">
        <v>0</v>
      </c>
      <c r="L97" s="6">
        <f t="shared" si="5"/>
        <v>-195320167</v>
      </c>
      <c r="M97" s="5" t="s">
        <v>510</v>
      </c>
      <c r="N97" s="5"/>
      <c r="O97" s="6"/>
      <c r="P97" s="5"/>
      <c r="Q97" s="6">
        <f>I97+L97</f>
        <v>-363748533</v>
      </c>
      <c r="R97" s="5"/>
      <c r="S97" s="5"/>
      <c r="T97" s="5"/>
      <c r="U97" s="5"/>
      <c r="V97" s="5"/>
      <c r="W97" s="5"/>
      <c r="X97" s="5"/>
      <c r="Y97" s="5"/>
      <c r="Z97" s="5"/>
      <c r="AA97" s="5"/>
      <c r="AB97" s="5"/>
      <c r="AC97" s="5"/>
      <c r="AD97" s="5"/>
    </row>
    <row r="98" spans="1:30">
      <c r="A98" s="5" t="s">
        <v>1435</v>
      </c>
      <c r="B98" s="5" t="s">
        <v>331</v>
      </c>
      <c r="C98" s="5" t="s">
        <v>332</v>
      </c>
      <c r="D98" s="5" t="s">
        <v>333</v>
      </c>
      <c r="G98" s="6">
        <v>151857000</v>
      </c>
      <c r="H98" s="6">
        <v>151857000</v>
      </c>
      <c r="I98" s="6">
        <f t="shared" si="4"/>
        <v>0</v>
      </c>
      <c r="J98" s="6">
        <v>156293000</v>
      </c>
      <c r="K98" s="6">
        <v>156293000</v>
      </c>
      <c r="L98" s="6">
        <f t="shared" si="5"/>
        <v>0</v>
      </c>
      <c r="M98" s="5"/>
      <c r="N98" s="5" t="s">
        <v>506</v>
      </c>
    </row>
    <row r="99" spans="1:30">
      <c r="A99" s="5" t="s">
        <v>1435</v>
      </c>
      <c r="B99" s="5" t="s">
        <v>334</v>
      </c>
      <c r="C99" s="5" t="s">
        <v>335</v>
      </c>
      <c r="D99" s="5" t="s">
        <v>336</v>
      </c>
      <c r="G99" s="6">
        <v>12447381</v>
      </c>
      <c r="H99" s="6">
        <v>0</v>
      </c>
      <c r="I99" s="6">
        <f t="shared" si="4"/>
        <v>-12447381</v>
      </c>
      <c r="J99" s="6">
        <v>12427426</v>
      </c>
      <c r="K99" s="6">
        <v>0</v>
      </c>
      <c r="L99" s="6">
        <f t="shared" si="5"/>
        <v>-12427426</v>
      </c>
      <c r="M99" t="s">
        <v>510</v>
      </c>
      <c r="Q99" s="6">
        <f>I99+L99</f>
        <v>-24874807</v>
      </c>
    </row>
    <row r="100" spans="1:30">
      <c r="A100" s="5" t="s">
        <v>1435</v>
      </c>
      <c r="B100" s="5" t="s">
        <v>337</v>
      </c>
      <c r="C100" s="5" t="s">
        <v>338</v>
      </c>
      <c r="D100" s="5" t="s">
        <v>339</v>
      </c>
      <c r="G100" s="6">
        <v>589852</v>
      </c>
      <c r="H100" s="6">
        <v>469852</v>
      </c>
      <c r="I100" s="6">
        <f t="shared" si="4"/>
        <v>-120000</v>
      </c>
      <c r="J100" s="6">
        <v>612622</v>
      </c>
      <c r="K100" s="6">
        <v>372604</v>
      </c>
      <c r="L100" s="6">
        <f t="shared" si="5"/>
        <v>-240018</v>
      </c>
      <c r="M100" s="4" t="s">
        <v>129</v>
      </c>
      <c r="W100" s="6">
        <f>I100+L100</f>
        <v>-360018</v>
      </c>
    </row>
    <row r="101" spans="1:30">
      <c r="A101" s="5" t="s">
        <v>1435</v>
      </c>
      <c r="B101" s="5" t="s">
        <v>340</v>
      </c>
      <c r="C101" s="5" t="s">
        <v>341</v>
      </c>
      <c r="D101" s="5" t="s">
        <v>342</v>
      </c>
      <c r="E101" s="6">
        <v>13049546</v>
      </c>
      <c r="F101" s="6">
        <v>12055905</v>
      </c>
      <c r="G101" s="6">
        <v>3000000</v>
      </c>
      <c r="H101" s="6">
        <v>1433089</v>
      </c>
      <c r="I101" s="6">
        <f t="shared" si="4"/>
        <v>-1566911</v>
      </c>
      <c r="J101" s="6">
        <v>3000000</v>
      </c>
      <c r="K101" s="6">
        <v>1336088</v>
      </c>
      <c r="L101" s="6">
        <f t="shared" si="5"/>
        <v>-1663912</v>
      </c>
      <c r="M101" t="s">
        <v>129</v>
      </c>
      <c r="R101" s="6">
        <f>I101+L101</f>
        <v>-3230823</v>
      </c>
    </row>
    <row r="102" spans="1:30">
      <c r="A102" s="5" t="s">
        <v>1435</v>
      </c>
      <c r="B102" s="5" t="s">
        <v>343</v>
      </c>
      <c r="C102" s="5" t="s">
        <v>344</v>
      </c>
      <c r="D102" s="5" t="s">
        <v>345</v>
      </c>
      <c r="G102" s="6">
        <v>1446522</v>
      </c>
      <c r="H102" s="6">
        <v>1203306</v>
      </c>
      <c r="I102" s="6">
        <f t="shared" si="4"/>
        <v>-243216</v>
      </c>
      <c r="J102" s="6">
        <v>1487187</v>
      </c>
      <c r="K102" s="6">
        <v>1248944</v>
      </c>
      <c r="L102" s="6">
        <f t="shared" si="5"/>
        <v>-238243</v>
      </c>
      <c r="M102" t="s">
        <v>129</v>
      </c>
      <c r="R102" s="6">
        <f>I102+L102</f>
        <v>-481459</v>
      </c>
    </row>
    <row r="103" spans="1:30">
      <c r="A103" s="5" t="s">
        <v>1435</v>
      </c>
      <c r="B103" s="5" t="s">
        <v>346</v>
      </c>
      <c r="C103" s="5" t="s">
        <v>347</v>
      </c>
      <c r="D103" s="5" t="s">
        <v>348</v>
      </c>
      <c r="G103" s="6">
        <v>1320358</v>
      </c>
      <c r="H103" s="6">
        <v>1174990</v>
      </c>
      <c r="I103" s="6">
        <f t="shared" si="4"/>
        <v>-145368</v>
      </c>
      <c r="J103" s="6">
        <v>1356968</v>
      </c>
      <c r="K103" s="6">
        <v>1202482</v>
      </c>
      <c r="L103" s="6">
        <f t="shared" si="5"/>
        <v>-154486</v>
      </c>
      <c r="M103" t="s">
        <v>129</v>
      </c>
      <c r="R103" s="6">
        <f>I103+L103</f>
        <v>-299854</v>
      </c>
    </row>
    <row r="104" spans="1:30">
      <c r="A104" s="5" t="s">
        <v>1435</v>
      </c>
      <c r="B104" s="5" t="s">
        <v>349</v>
      </c>
      <c r="C104" s="5" t="s">
        <v>350</v>
      </c>
      <c r="D104" s="5" t="s">
        <v>351</v>
      </c>
      <c r="G104" s="6">
        <v>2270025</v>
      </c>
      <c r="H104" s="6">
        <v>0</v>
      </c>
      <c r="I104" s="6">
        <f t="shared" si="4"/>
        <v>-2270025</v>
      </c>
      <c r="J104" s="6">
        <v>2265606</v>
      </c>
      <c r="K104" s="6">
        <v>0</v>
      </c>
      <c r="L104" s="6">
        <f t="shared" si="5"/>
        <v>-2265606</v>
      </c>
      <c r="M104" t="s">
        <v>129</v>
      </c>
      <c r="R104" s="6">
        <f>I104+L104+(300040+795836+298897+797606)</f>
        <v>-2343252</v>
      </c>
      <c r="W104" s="6">
        <f>-(300040+795836+298897+797606)</f>
        <v>-2192379</v>
      </c>
    </row>
    <row r="105" spans="1:30">
      <c r="A105" s="5" t="s">
        <v>1435</v>
      </c>
      <c r="B105" s="5" t="s">
        <v>352</v>
      </c>
      <c r="C105" s="5" t="s">
        <v>353</v>
      </c>
      <c r="D105" s="5" t="s">
        <v>354</v>
      </c>
      <c r="G105" s="6">
        <v>4887592</v>
      </c>
      <c r="H105" s="6">
        <v>4887592</v>
      </c>
      <c r="I105" s="6">
        <f t="shared" si="4"/>
        <v>0</v>
      </c>
      <c r="J105" s="6">
        <v>5760070</v>
      </c>
      <c r="K105" s="6">
        <f>J105-(2990849-2235313)</f>
        <v>5004534</v>
      </c>
      <c r="L105" s="6">
        <f t="shared" si="5"/>
        <v>-755536</v>
      </c>
      <c r="M105" s="4" t="s">
        <v>1445</v>
      </c>
      <c r="U105" s="6">
        <f>I105+L105</f>
        <v>-755536</v>
      </c>
    </row>
    <row r="106" spans="1:30">
      <c r="A106" s="5" t="s">
        <v>1435</v>
      </c>
      <c r="B106" s="5" t="s">
        <v>355</v>
      </c>
      <c r="C106" s="5" t="s">
        <v>356</v>
      </c>
      <c r="D106" s="5" t="s">
        <v>357</v>
      </c>
      <c r="G106" s="6">
        <v>18847103</v>
      </c>
      <c r="H106" s="6">
        <f>G106-1444237</f>
        <v>17402866</v>
      </c>
      <c r="I106" s="6">
        <f t="shared" si="4"/>
        <v>-1444237</v>
      </c>
      <c r="J106" s="6">
        <v>18758618</v>
      </c>
      <c r="K106" s="6">
        <f>J106-1444237</f>
        <v>17314381</v>
      </c>
      <c r="L106" s="6">
        <f t="shared" si="5"/>
        <v>-1444237</v>
      </c>
      <c r="M106" t="s">
        <v>507</v>
      </c>
      <c r="R106" s="6">
        <f>I106+L106</f>
        <v>-2888474</v>
      </c>
    </row>
    <row r="107" spans="1:30">
      <c r="A107" s="5" t="s">
        <v>1435</v>
      </c>
      <c r="B107" s="5" t="s">
        <v>358</v>
      </c>
      <c r="C107" s="5" t="s">
        <v>359</v>
      </c>
      <c r="D107" s="5" t="s">
        <v>360</v>
      </c>
      <c r="G107" s="6">
        <v>2797449</v>
      </c>
      <c r="H107" s="6">
        <v>2797449</v>
      </c>
      <c r="I107" s="6">
        <f t="shared" si="4"/>
        <v>0</v>
      </c>
      <c r="J107" s="6">
        <v>2759185</v>
      </c>
      <c r="K107" s="6">
        <v>2759185</v>
      </c>
      <c r="L107" s="6">
        <f t="shared" si="5"/>
        <v>0</v>
      </c>
    </row>
    <row r="108" spans="1:30">
      <c r="A108" s="5" t="s">
        <v>1435</v>
      </c>
      <c r="B108" s="5" t="s">
        <v>361</v>
      </c>
      <c r="C108" s="5" t="s">
        <v>362</v>
      </c>
      <c r="D108" s="5" t="s">
        <v>363</v>
      </c>
      <c r="G108" s="6">
        <v>11414027</v>
      </c>
      <c r="H108" s="6">
        <f>G108-567380</f>
        <v>10846647</v>
      </c>
      <c r="I108" s="6">
        <f t="shared" si="4"/>
        <v>-567380</v>
      </c>
      <c r="J108" s="6">
        <v>10818072</v>
      </c>
      <c r="K108" s="6">
        <v>10818072</v>
      </c>
      <c r="L108" s="6">
        <f t="shared" si="5"/>
        <v>0</v>
      </c>
      <c r="M108" t="s">
        <v>508</v>
      </c>
      <c r="R108" s="6">
        <f>I108+L108</f>
        <v>-567380</v>
      </c>
    </row>
    <row r="109" spans="1:30">
      <c r="A109" s="5" t="s">
        <v>1435</v>
      </c>
      <c r="B109" s="5" t="s">
        <v>364</v>
      </c>
      <c r="C109" s="5" t="s">
        <v>365</v>
      </c>
      <c r="D109" s="5" t="s">
        <v>366</v>
      </c>
      <c r="G109" s="6">
        <v>0</v>
      </c>
      <c r="H109" s="6">
        <v>0</v>
      </c>
      <c r="I109" s="6">
        <f t="shared" si="4"/>
        <v>0</v>
      </c>
      <c r="J109" s="6">
        <v>0</v>
      </c>
      <c r="K109" s="6">
        <v>0</v>
      </c>
      <c r="L109" s="6">
        <f t="shared" si="5"/>
        <v>0</v>
      </c>
    </row>
    <row r="110" spans="1:30">
      <c r="A110" s="5" t="s">
        <v>1435</v>
      </c>
      <c r="B110" s="5" t="s">
        <v>367</v>
      </c>
      <c r="C110" s="5" t="s">
        <v>368</v>
      </c>
      <c r="D110" s="5" t="s">
        <v>369</v>
      </c>
      <c r="G110" s="6">
        <v>5999927</v>
      </c>
      <c r="H110" s="6">
        <v>5999927</v>
      </c>
      <c r="I110" s="6">
        <f t="shared" si="4"/>
        <v>0</v>
      </c>
      <c r="J110" s="6">
        <v>6000695</v>
      </c>
      <c r="K110" s="6">
        <v>6000695</v>
      </c>
      <c r="L110" s="6">
        <f t="shared" si="5"/>
        <v>0</v>
      </c>
    </row>
    <row r="111" spans="1:30">
      <c r="A111" s="5" t="s">
        <v>1435</v>
      </c>
      <c r="B111" s="5" t="s">
        <v>370</v>
      </c>
      <c r="C111" s="5" t="s">
        <v>371</v>
      </c>
      <c r="D111" s="5" t="s">
        <v>372</v>
      </c>
      <c r="G111" s="6">
        <v>201286</v>
      </c>
      <c r="H111" s="6">
        <v>0</v>
      </c>
      <c r="I111" s="6">
        <f t="shared" si="4"/>
        <v>-201286</v>
      </c>
      <c r="J111" s="6">
        <v>207369</v>
      </c>
      <c r="K111" s="6">
        <v>0</v>
      </c>
      <c r="L111" s="6">
        <f t="shared" si="5"/>
        <v>-207369</v>
      </c>
      <c r="M111" t="s">
        <v>510</v>
      </c>
      <c r="S111" s="6">
        <f>I111+L111</f>
        <v>-408655</v>
      </c>
      <c r="T111" s="6"/>
    </row>
    <row r="112" spans="1:30">
      <c r="A112" s="5" t="s">
        <v>1435</v>
      </c>
      <c r="B112" s="5" t="s">
        <v>373</v>
      </c>
      <c r="C112" s="5" t="s">
        <v>374</v>
      </c>
      <c r="D112" s="5" t="s">
        <v>375</v>
      </c>
      <c r="G112" s="6">
        <v>17476569</v>
      </c>
      <c r="H112" s="6">
        <v>4139910</v>
      </c>
      <c r="I112" s="6">
        <f t="shared" si="4"/>
        <v>-13336659</v>
      </c>
      <c r="J112" s="6">
        <v>21909983</v>
      </c>
      <c r="K112" s="6">
        <v>4158774</v>
      </c>
      <c r="L112" s="6">
        <f t="shared" si="5"/>
        <v>-17751209</v>
      </c>
      <c r="M112" s="10" t="s">
        <v>1613</v>
      </c>
      <c r="Q112" s="6">
        <f>I112+L112-Y112</f>
        <v>-10148339</v>
      </c>
      <c r="V112" s="6"/>
      <c r="Y112" s="6">
        <v>-20939529</v>
      </c>
    </row>
    <row r="113" spans="1:18">
      <c r="A113" s="5" t="s">
        <v>1435</v>
      </c>
      <c r="B113" s="5" t="s">
        <v>376</v>
      </c>
      <c r="C113" s="5" t="s">
        <v>377</v>
      </c>
      <c r="D113" s="5" t="s">
        <v>378</v>
      </c>
      <c r="G113" s="6">
        <v>140159537</v>
      </c>
      <c r="H113" s="6">
        <v>140159537</v>
      </c>
      <c r="I113" s="6">
        <f t="shared" si="4"/>
        <v>0</v>
      </c>
      <c r="J113" s="6">
        <v>140219222</v>
      </c>
      <c r="K113" s="6">
        <v>140219222</v>
      </c>
      <c r="L113" s="6">
        <f t="shared" si="5"/>
        <v>0</v>
      </c>
      <c r="N113" s="5" t="s">
        <v>511</v>
      </c>
    </row>
    <row r="114" spans="1:18">
      <c r="A114" s="5" t="s">
        <v>1435</v>
      </c>
      <c r="B114" s="5" t="s">
        <v>379</v>
      </c>
      <c r="C114" s="5" t="s">
        <v>380</v>
      </c>
      <c r="D114" s="5" t="s">
        <v>381</v>
      </c>
      <c r="G114" s="6">
        <v>14534000</v>
      </c>
      <c r="H114" s="6">
        <v>14534000</v>
      </c>
      <c r="I114" s="6">
        <f t="shared" si="4"/>
        <v>0</v>
      </c>
      <c r="J114" s="6">
        <v>3814108</v>
      </c>
      <c r="K114" s="6">
        <v>3814108</v>
      </c>
      <c r="L114" s="6">
        <f t="shared" si="5"/>
        <v>0</v>
      </c>
      <c r="N114" s="5" t="s">
        <v>511</v>
      </c>
    </row>
    <row r="115" spans="1:18">
      <c r="A115" s="5" t="s">
        <v>1435</v>
      </c>
      <c r="B115" s="5" t="s">
        <v>382</v>
      </c>
      <c r="C115" s="5" t="s">
        <v>383</v>
      </c>
      <c r="D115" s="5" t="s">
        <v>384</v>
      </c>
      <c r="G115" s="6">
        <v>8814636</v>
      </c>
      <c r="H115" s="6">
        <v>8814636</v>
      </c>
      <c r="I115" s="6">
        <f t="shared" si="4"/>
        <v>0</v>
      </c>
      <c r="J115" s="6">
        <v>8832287</v>
      </c>
      <c r="K115" s="6">
        <v>8832287</v>
      </c>
      <c r="L115" s="6">
        <f t="shared" si="5"/>
        <v>0</v>
      </c>
    </row>
    <row r="116" spans="1:18">
      <c r="A116" s="5" t="s">
        <v>1435</v>
      </c>
      <c r="B116" s="5" t="s">
        <v>385</v>
      </c>
      <c r="C116" s="5" t="s">
        <v>386</v>
      </c>
      <c r="D116" s="5" t="s">
        <v>388</v>
      </c>
      <c r="G116" s="6">
        <v>6210978</v>
      </c>
      <c r="H116" s="6">
        <v>6196766</v>
      </c>
      <c r="I116" s="6">
        <f t="shared" si="4"/>
        <v>-14212</v>
      </c>
      <c r="J116" s="6">
        <v>6215973</v>
      </c>
      <c r="K116" s="6">
        <v>6203118</v>
      </c>
      <c r="L116" s="6">
        <f t="shared" si="5"/>
        <v>-12855</v>
      </c>
      <c r="M116" t="s">
        <v>129</v>
      </c>
      <c r="R116" s="6">
        <f>I116+L116</f>
        <v>-27067</v>
      </c>
    </row>
    <row r="117" spans="1:18">
      <c r="A117" s="5" t="s">
        <v>1435</v>
      </c>
      <c r="B117" s="5" t="s">
        <v>387</v>
      </c>
      <c r="C117" s="5" t="s">
        <v>389</v>
      </c>
      <c r="D117" s="5" t="s">
        <v>390</v>
      </c>
      <c r="G117" s="6">
        <v>72836248</v>
      </c>
      <c r="H117" s="6">
        <v>72836248</v>
      </c>
      <c r="I117" s="6">
        <f t="shared" si="4"/>
        <v>0</v>
      </c>
      <c r="J117" s="6">
        <v>72718501</v>
      </c>
      <c r="K117" s="6">
        <v>72718501</v>
      </c>
      <c r="L117" s="6">
        <f t="shared" si="5"/>
        <v>0</v>
      </c>
    </row>
    <row r="118" spans="1:18">
      <c r="A118" s="5" t="s">
        <v>1435</v>
      </c>
      <c r="B118" s="5" t="s">
        <v>391</v>
      </c>
      <c r="C118" s="5" t="s">
        <v>392</v>
      </c>
      <c r="D118" s="5" t="s">
        <v>393</v>
      </c>
      <c r="G118" s="6">
        <v>4303151</v>
      </c>
      <c r="H118" s="6">
        <v>4303151</v>
      </c>
      <c r="I118" s="6">
        <f t="shared" si="4"/>
        <v>0</v>
      </c>
      <c r="J118" s="6">
        <v>4305061</v>
      </c>
      <c r="K118" s="6">
        <v>4305061</v>
      </c>
      <c r="L118" s="6">
        <f t="shared" si="5"/>
        <v>0</v>
      </c>
      <c r="N118" s="5" t="s">
        <v>1553</v>
      </c>
    </row>
    <row r="119" spans="1:18">
      <c r="A119" s="5" t="s">
        <v>394</v>
      </c>
      <c r="B119" s="5" t="s">
        <v>394</v>
      </c>
      <c r="C119" s="5" t="s">
        <v>395</v>
      </c>
      <c r="D119" s="5" t="s">
        <v>396</v>
      </c>
      <c r="G119" s="6">
        <v>407385</v>
      </c>
      <c r="H119" s="6">
        <v>407385</v>
      </c>
      <c r="I119" s="6">
        <f t="shared" si="4"/>
        <v>0</v>
      </c>
      <c r="J119" s="6">
        <v>412195</v>
      </c>
      <c r="K119" s="6">
        <v>412195</v>
      </c>
      <c r="L119" s="6">
        <f t="shared" si="5"/>
        <v>0</v>
      </c>
    </row>
    <row r="120" spans="1:18">
      <c r="A120" s="5" t="s">
        <v>397</v>
      </c>
      <c r="B120" s="5" t="s">
        <v>397</v>
      </c>
      <c r="C120" s="5" t="s">
        <v>398</v>
      </c>
      <c r="D120" s="5" t="s">
        <v>399</v>
      </c>
      <c r="G120" s="6">
        <v>7976256</v>
      </c>
      <c r="H120" s="6">
        <v>7976256</v>
      </c>
      <c r="I120" s="6">
        <f t="shared" si="4"/>
        <v>0</v>
      </c>
      <c r="J120" s="6">
        <v>9301799</v>
      </c>
      <c r="K120" s="6">
        <v>9301799</v>
      </c>
      <c r="L120" s="6">
        <f t="shared" si="5"/>
        <v>0</v>
      </c>
    </row>
    <row r="121" spans="1:18">
      <c r="A121" s="5" t="s">
        <v>397</v>
      </c>
      <c r="B121" s="5" t="s">
        <v>400</v>
      </c>
      <c r="C121" s="5" t="s">
        <v>401</v>
      </c>
      <c r="D121" s="5" t="s">
        <v>402</v>
      </c>
      <c r="G121" s="6">
        <v>958422</v>
      </c>
      <c r="H121" s="6">
        <v>958422</v>
      </c>
      <c r="I121" s="6">
        <f t="shared" si="4"/>
        <v>0</v>
      </c>
      <c r="J121" s="6">
        <v>419725</v>
      </c>
      <c r="K121" s="6">
        <v>419725</v>
      </c>
      <c r="L121" s="6">
        <f t="shared" si="5"/>
        <v>0</v>
      </c>
    </row>
    <row r="122" spans="1:18">
      <c r="A122" s="5" t="s">
        <v>403</v>
      </c>
      <c r="B122" s="5" t="s">
        <v>404</v>
      </c>
      <c r="C122" s="5" t="s">
        <v>405</v>
      </c>
      <c r="D122" s="5" t="s">
        <v>406</v>
      </c>
      <c r="E122" s="6">
        <v>4501175</v>
      </c>
      <c r="F122" s="6">
        <v>3841254</v>
      </c>
      <c r="G122" s="6">
        <v>4617548</v>
      </c>
      <c r="H122" s="6">
        <v>4617548</v>
      </c>
      <c r="I122" s="6">
        <f t="shared" si="4"/>
        <v>0</v>
      </c>
      <c r="J122" s="6">
        <v>4612357</v>
      </c>
      <c r="K122" s="6">
        <v>4612357</v>
      </c>
      <c r="L122" s="6">
        <f t="shared" si="5"/>
        <v>0</v>
      </c>
      <c r="P122" s="6"/>
    </row>
    <row r="123" spans="1:18">
      <c r="A123" s="5" t="s">
        <v>403</v>
      </c>
      <c r="B123" s="5" t="s">
        <v>407</v>
      </c>
      <c r="C123" s="5" t="s">
        <v>408</v>
      </c>
      <c r="D123" s="5" t="s">
        <v>409</v>
      </c>
      <c r="E123" s="6">
        <v>1937241</v>
      </c>
      <c r="F123" s="6">
        <v>1625089</v>
      </c>
      <c r="G123" s="6">
        <v>1989445</v>
      </c>
      <c r="H123" s="6">
        <f>F123*1.12</f>
        <v>1820099.6800000002</v>
      </c>
      <c r="I123" s="6">
        <f t="shared" si="4"/>
        <v>-169345.31999999983</v>
      </c>
      <c r="J123" s="6">
        <v>1988735</v>
      </c>
      <c r="K123" s="6">
        <f>H123*1.02</f>
        <v>1856501.6736000001</v>
      </c>
      <c r="L123" s="6">
        <f t="shared" si="5"/>
        <v>-132233.3263999999</v>
      </c>
      <c r="M123" t="s">
        <v>1554</v>
      </c>
      <c r="P123" s="6">
        <f>I123+L123</f>
        <v>-301578.64639999974</v>
      </c>
    </row>
    <row r="124" spans="1:18">
      <c r="A124" s="5" t="s">
        <v>403</v>
      </c>
      <c r="B124" s="5" t="s">
        <v>410</v>
      </c>
      <c r="C124" s="5" t="s">
        <v>411</v>
      </c>
      <c r="D124" s="5" t="s">
        <v>412</v>
      </c>
      <c r="G124" s="6">
        <v>423876</v>
      </c>
      <c r="H124" s="6">
        <v>423876</v>
      </c>
      <c r="I124" s="6">
        <f t="shared" si="4"/>
        <v>0</v>
      </c>
      <c r="J124" s="6">
        <v>422774</v>
      </c>
      <c r="K124" s="6">
        <v>422774</v>
      </c>
      <c r="L124" s="6">
        <f t="shared" si="5"/>
        <v>0</v>
      </c>
    </row>
    <row r="125" spans="1:18">
      <c r="A125" s="5" t="s">
        <v>403</v>
      </c>
      <c r="B125" s="5" t="s">
        <v>413</v>
      </c>
      <c r="C125" s="5" t="s">
        <v>414</v>
      </c>
      <c r="D125" s="5" t="s">
        <v>415</v>
      </c>
      <c r="E125" s="6">
        <v>16459778</v>
      </c>
      <c r="F125" s="6">
        <v>14048281</v>
      </c>
      <c r="G125" s="6">
        <v>17558385</v>
      </c>
      <c r="H125" s="6">
        <f>F125*1.12</f>
        <v>15734074.720000001</v>
      </c>
      <c r="I125" s="6">
        <f t="shared" si="4"/>
        <v>-1824310.2799999993</v>
      </c>
      <c r="J125" s="6">
        <v>17743953</v>
      </c>
      <c r="K125" s="6">
        <f>H125*1.02</f>
        <v>16048756.214400001</v>
      </c>
      <c r="L125" s="6">
        <f t="shared" si="5"/>
        <v>-1695196.7855999991</v>
      </c>
      <c r="M125" t="s">
        <v>1554</v>
      </c>
      <c r="P125" s="6">
        <f>I125+L125</f>
        <v>-3519507.0655999985</v>
      </c>
    </row>
    <row r="126" spans="1:18">
      <c r="A126" s="5" t="s">
        <v>403</v>
      </c>
      <c r="B126" s="5" t="s">
        <v>416</v>
      </c>
      <c r="C126" s="5" t="s">
        <v>417</v>
      </c>
      <c r="D126" s="5" t="s">
        <v>418</v>
      </c>
      <c r="G126" s="6">
        <v>35793</v>
      </c>
      <c r="H126" s="6">
        <v>35793</v>
      </c>
      <c r="I126" s="6">
        <f t="shared" si="4"/>
        <v>0</v>
      </c>
      <c r="J126" s="6">
        <v>35793</v>
      </c>
      <c r="K126" s="60">
        <v>35793</v>
      </c>
      <c r="L126" s="6">
        <f t="shared" si="5"/>
        <v>0</v>
      </c>
    </row>
    <row r="127" spans="1:18">
      <c r="A127" s="5" t="s">
        <v>403</v>
      </c>
      <c r="B127" s="5" t="s">
        <v>419</v>
      </c>
      <c r="C127" s="5" t="s">
        <v>420</v>
      </c>
      <c r="D127" s="5" t="s">
        <v>421</v>
      </c>
      <c r="G127" s="6">
        <v>28962</v>
      </c>
      <c r="H127" s="6">
        <v>28962</v>
      </c>
      <c r="I127" s="6">
        <f t="shared" si="4"/>
        <v>0</v>
      </c>
      <c r="J127" s="6">
        <v>17150</v>
      </c>
      <c r="K127" s="6">
        <v>17150</v>
      </c>
      <c r="L127" s="6">
        <f t="shared" si="5"/>
        <v>0</v>
      </c>
    </row>
    <row r="128" spans="1:18">
      <c r="A128" s="5" t="s">
        <v>403</v>
      </c>
      <c r="B128" s="5" t="s">
        <v>422</v>
      </c>
      <c r="C128" s="5" t="s">
        <v>423</v>
      </c>
      <c r="D128" s="5" t="s">
        <v>424</v>
      </c>
      <c r="E128" s="6">
        <v>146802658</v>
      </c>
      <c r="F128" s="6">
        <v>132295864</v>
      </c>
      <c r="G128" s="6">
        <v>177188058</v>
      </c>
      <c r="H128" s="6">
        <f>F128*1.12</f>
        <v>148171367.68000001</v>
      </c>
      <c r="I128" s="6">
        <f t="shared" si="4"/>
        <v>-29016690.319999993</v>
      </c>
      <c r="J128" s="6">
        <v>177018688</v>
      </c>
      <c r="K128" s="6">
        <f t="shared" ref="K128:K133" si="6">H128*1.02</f>
        <v>151134795.0336</v>
      </c>
      <c r="L128" s="6">
        <f t="shared" si="5"/>
        <v>-25883892.966399997</v>
      </c>
      <c r="M128" t="s">
        <v>1554</v>
      </c>
      <c r="P128" s="6">
        <f t="shared" ref="P128:P133" si="7">I128+L128</f>
        <v>-54900583.28639999</v>
      </c>
    </row>
    <row r="129" spans="1:30">
      <c r="A129" s="5" t="s">
        <v>403</v>
      </c>
      <c r="B129" s="5" t="s">
        <v>425</v>
      </c>
      <c r="C129" s="5" t="s">
        <v>426</v>
      </c>
      <c r="D129" s="5" t="s">
        <v>427</v>
      </c>
      <c r="E129" s="6">
        <v>4534454</v>
      </c>
      <c r="F129" s="6">
        <v>3817347</v>
      </c>
      <c r="G129" s="6">
        <v>5200306</v>
      </c>
      <c r="H129" s="6">
        <f>F129*1.12</f>
        <v>4275428.6400000006</v>
      </c>
      <c r="I129" s="6">
        <f t="shared" si="4"/>
        <v>-924877.3599999994</v>
      </c>
      <c r="J129" s="6">
        <v>5204327</v>
      </c>
      <c r="K129" s="6">
        <f t="shared" si="6"/>
        <v>4360937.2128000008</v>
      </c>
      <c r="L129" s="6">
        <f t="shared" si="5"/>
        <v>-843389.78719999921</v>
      </c>
      <c r="M129" t="s">
        <v>1554</v>
      </c>
      <c r="P129" s="6">
        <f t="shared" si="7"/>
        <v>-1768267.1471999986</v>
      </c>
    </row>
    <row r="130" spans="1:30">
      <c r="A130" s="5" t="s">
        <v>403</v>
      </c>
      <c r="B130" s="5" t="s">
        <v>428</v>
      </c>
      <c r="C130" s="5" t="s">
        <v>429</v>
      </c>
      <c r="D130" s="5" t="s">
        <v>430</v>
      </c>
      <c r="E130" s="6">
        <v>4245788</v>
      </c>
      <c r="F130" s="6">
        <v>3556866</v>
      </c>
      <c r="G130" s="6">
        <v>8105767</v>
      </c>
      <c r="H130" s="6">
        <f>F130*1.12</f>
        <v>3983689.9200000004</v>
      </c>
      <c r="I130" s="6">
        <f t="shared" si="4"/>
        <v>-4122077.0799999996</v>
      </c>
      <c r="J130" s="6">
        <v>8106616</v>
      </c>
      <c r="K130" s="6">
        <f t="shared" si="6"/>
        <v>4063363.7184000006</v>
      </c>
      <c r="L130" s="6">
        <f t="shared" si="5"/>
        <v>-4043252.2815999994</v>
      </c>
      <c r="M130" t="s">
        <v>1554</v>
      </c>
      <c r="P130" s="6">
        <f t="shared" si="7"/>
        <v>-8165329.3615999985</v>
      </c>
    </row>
    <row r="131" spans="1:30">
      <c r="A131" s="5" t="s">
        <v>403</v>
      </c>
      <c r="B131" s="5" t="s">
        <v>431</v>
      </c>
      <c r="C131" s="5" t="s">
        <v>432</v>
      </c>
      <c r="D131" s="5" t="s">
        <v>433</v>
      </c>
      <c r="E131" s="6">
        <v>29816535</v>
      </c>
      <c r="F131" s="6">
        <v>26861567</v>
      </c>
      <c r="G131" s="6">
        <v>38498940</v>
      </c>
      <c r="H131" s="6">
        <f>F131*1.24</f>
        <v>33308343.079999998</v>
      </c>
      <c r="I131" s="6">
        <f t="shared" si="4"/>
        <v>-5190596.9200000018</v>
      </c>
      <c r="J131" s="6">
        <v>40710906</v>
      </c>
      <c r="K131" s="6">
        <f t="shared" si="6"/>
        <v>33974509.941600002</v>
      </c>
      <c r="L131" s="6">
        <f t="shared" si="5"/>
        <v>-6736396.0583999977</v>
      </c>
      <c r="M131" t="s">
        <v>1555</v>
      </c>
      <c r="P131" s="6">
        <f t="shared" si="7"/>
        <v>-11926992.978399999</v>
      </c>
    </row>
    <row r="132" spans="1:30">
      <c r="A132" s="5" t="s">
        <v>403</v>
      </c>
      <c r="B132" s="5" t="s">
        <v>434</v>
      </c>
      <c r="C132" s="5" t="s">
        <v>435</v>
      </c>
      <c r="D132" s="5" t="s">
        <v>436</v>
      </c>
      <c r="E132" s="6">
        <v>1434393</v>
      </c>
      <c r="F132" s="6">
        <v>1216092</v>
      </c>
      <c r="G132" s="6">
        <v>1581692</v>
      </c>
      <c r="H132" s="6">
        <f>F132*1.12</f>
        <v>1362023.04</v>
      </c>
      <c r="I132" s="6">
        <f t="shared" si="4"/>
        <v>-219668.95999999996</v>
      </c>
      <c r="J132" s="6">
        <v>1585182</v>
      </c>
      <c r="K132" s="6">
        <f t="shared" si="6"/>
        <v>1389263.5008</v>
      </c>
      <c r="L132" s="6">
        <f t="shared" si="5"/>
        <v>-195918.49919999996</v>
      </c>
      <c r="M132" t="s">
        <v>1554</v>
      </c>
      <c r="P132" s="6">
        <f t="shared" si="7"/>
        <v>-415587.45919999992</v>
      </c>
    </row>
    <row r="133" spans="1:30">
      <c r="A133" s="5" t="s">
        <v>403</v>
      </c>
      <c r="B133" s="5" t="s">
        <v>437</v>
      </c>
      <c r="C133" s="5" t="s">
        <v>438</v>
      </c>
      <c r="D133" s="5" t="s">
        <v>439</v>
      </c>
      <c r="E133" s="6">
        <v>5914211</v>
      </c>
      <c r="F133" s="6">
        <v>5183555</v>
      </c>
      <c r="G133" s="6">
        <v>6819117</v>
      </c>
      <c r="H133" s="6">
        <f>F133*1.12</f>
        <v>5805581.6000000006</v>
      </c>
      <c r="I133" s="6">
        <f t="shared" si="4"/>
        <v>-1013535.3999999994</v>
      </c>
      <c r="J133" s="6">
        <v>6821152</v>
      </c>
      <c r="K133" s="6">
        <f t="shared" si="6"/>
        <v>5921693.2320000008</v>
      </c>
      <c r="L133" s="6">
        <f t="shared" si="5"/>
        <v>-899458.76799999923</v>
      </c>
      <c r="M133" t="s">
        <v>1554</v>
      </c>
      <c r="P133" s="6">
        <f t="shared" si="7"/>
        <v>-1912994.1679999987</v>
      </c>
    </row>
    <row r="134" spans="1:30">
      <c r="A134" s="5" t="s">
        <v>403</v>
      </c>
      <c r="B134" s="5" t="s">
        <v>440</v>
      </c>
      <c r="C134" s="5" t="s">
        <v>441</v>
      </c>
      <c r="D134" s="5" t="s">
        <v>442</v>
      </c>
      <c r="G134" s="6">
        <v>5629703</v>
      </c>
      <c r="H134" s="6">
        <v>5629703</v>
      </c>
      <c r="I134" s="6">
        <f t="shared" ref="I134:I197" si="8">H134-G134</f>
        <v>0</v>
      </c>
      <c r="J134" s="6">
        <v>5632792</v>
      </c>
      <c r="K134" s="6">
        <v>5632792</v>
      </c>
      <c r="L134" s="6">
        <f t="shared" ref="L134:L197" si="9">K134-J134</f>
        <v>0</v>
      </c>
    </row>
    <row r="135" spans="1:30">
      <c r="A135" s="5" t="s">
        <v>403</v>
      </c>
      <c r="B135" s="5" t="s">
        <v>443</v>
      </c>
      <c r="C135" s="5" t="s">
        <v>444</v>
      </c>
      <c r="D135" s="5" t="s">
        <v>445</v>
      </c>
      <c r="E135" s="6">
        <v>1805133</v>
      </c>
      <c r="F135" s="6">
        <v>1529380</v>
      </c>
      <c r="G135" s="6">
        <v>1940955</v>
      </c>
      <c r="H135" s="6">
        <f>F135*1.12</f>
        <v>1712905.6</v>
      </c>
      <c r="I135" s="6">
        <f t="shared" si="8"/>
        <v>-228049.39999999991</v>
      </c>
      <c r="J135" s="6">
        <v>1951821</v>
      </c>
      <c r="K135" s="6">
        <f>H135*1.02</f>
        <v>1747163.7120000001</v>
      </c>
      <c r="L135" s="6">
        <f t="shared" si="9"/>
        <v>-204657.28799999994</v>
      </c>
      <c r="M135" t="s">
        <v>1554</v>
      </c>
      <c r="P135" s="6">
        <f>I135+L135</f>
        <v>-432706.68799999985</v>
      </c>
    </row>
    <row r="136" spans="1:30">
      <c r="A136" s="5" t="s">
        <v>403</v>
      </c>
      <c r="B136" s="5" t="s">
        <v>446</v>
      </c>
      <c r="C136" s="5" t="s">
        <v>447</v>
      </c>
      <c r="D136" s="5" t="s">
        <v>448</v>
      </c>
      <c r="E136" s="6">
        <v>218094832</v>
      </c>
      <c r="F136" s="6">
        <v>199774132</v>
      </c>
      <c r="G136" s="6">
        <v>234164367</v>
      </c>
      <c r="H136" s="6">
        <f>F136*1.12</f>
        <v>223747027.84000003</v>
      </c>
      <c r="I136" s="6">
        <f t="shared" si="8"/>
        <v>-10417339.159999967</v>
      </c>
      <c r="J136" s="6">
        <v>230541806</v>
      </c>
      <c r="K136" s="6">
        <f>H136*1.02</f>
        <v>228221968.39680004</v>
      </c>
      <c r="L136" s="6">
        <f t="shared" si="9"/>
        <v>-2319837.6031999588</v>
      </c>
      <c r="M136" t="s">
        <v>1554</v>
      </c>
      <c r="P136" s="6">
        <f>I136+L136</f>
        <v>-12737176.763199925</v>
      </c>
    </row>
    <row r="137" spans="1:30" s="9" customFormat="1">
      <c r="A137" s="59" t="s">
        <v>403</v>
      </c>
      <c r="B137" s="59" t="s">
        <v>449</v>
      </c>
      <c r="C137" s="59" t="s">
        <v>450</v>
      </c>
      <c r="D137" s="64" t="s">
        <v>451</v>
      </c>
      <c r="E137" s="60"/>
      <c r="F137" s="60"/>
      <c r="G137" s="60">
        <v>1200000</v>
      </c>
      <c r="H137" s="60">
        <v>0</v>
      </c>
      <c r="I137" s="60">
        <f t="shared" si="8"/>
        <v>-1200000</v>
      </c>
      <c r="J137" s="60">
        <v>7100000</v>
      </c>
      <c r="K137" s="60">
        <v>0</v>
      </c>
      <c r="L137" s="60">
        <f t="shared" si="9"/>
        <v>-7100000</v>
      </c>
      <c r="M137" s="9" t="s">
        <v>1487</v>
      </c>
      <c r="N137" s="59"/>
      <c r="O137" s="60"/>
      <c r="P137" s="59"/>
      <c r="Q137" s="61">
        <f>I137+L137</f>
        <v>-8300000</v>
      </c>
      <c r="R137" s="59"/>
      <c r="S137" s="59"/>
      <c r="T137" s="59"/>
      <c r="U137" s="59"/>
      <c r="V137" s="59"/>
      <c r="W137" s="59"/>
      <c r="X137" s="59"/>
      <c r="Y137" s="59"/>
      <c r="Z137" s="59"/>
      <c r="AA137" s="59"/>
      <c r="AB137" s="59"/>
      <c r="AC137" s="59"/>
      <c r="AD137" s="59"/>
    </row>
    <row r="138" spans="1:30">
      <c r="A138" s="5" t="s">
        <v>403</v>
      </c>
      <c r="B138" s="5" t="s">
        <v>452</v>
      </c>
      <c r="C138" s="5" t="s">
        <v>453</v>
      </c>
      <c r="D138" s="5" t="s">
        <v>454</v>
      </c>
      <c r="E138" s="6">
        <v>6457744</v>
      </c>
      <c r="F138" s="6">
        <v>5424714</v>
      </c>
      <c r="G138" s="6">
        <v>7328356</v>
      </c>
      <c r="H138" s="6">
        <f>F138*1.12</f>
        <v>6075679.6800000006</v>
      </c>
      <c r="I138" s="6">
        <f t="shared" si="8"/>
        <v>-1252676.3199999994</v>
      </c>
      <c r="J138" s="6">
        <v>7324002</v>
      </c>
      <c r="K138" s="6">
        <f>H138*1.02</f>
        <v>6197193.2736000009</v>
      </c>
      <c r="L138" s="6">
        <f t="shared" si="9"/>
        <v>-1126808.7263999991</v>
      </c>
      <c r="M138" t="s">
        <v>1554</v>
      </c>
      <c r="P138" s="6">
        <f>I138+L138</f>
        <v>-2379485.0463999985</v>
      </c>
    </row>
    <row r="139" spans="1:30">
      <c r="A139" s="5" t="s">
        <v>403</v>
      </c>
      <c r="B139" s="5" t="s">
        <v>455</v>
      </c>
      <c r="C139" s="5" t="s">
        <v>456</v>
      </c>
      <c r="D139" s="5" t="s">
        <v>457</v>
      </c>
      <c r="E139" s="6">
        <v>1054642</v>
      </c>
      <c r="F139" s="6">
        <v>892178</v>
      </c>
      <c r="G139" s="6">
        <v>3004580</v>
      </c>
      <c r="H139" s="6">
        <f>F139*1.24</f>
        <v>1106300.72</v>
      </c>
      <c r="I139" s="6">
        <f t="shared" si="8"/>
        <v>-1898279.28</v>
      </c>
      <c r="J139" s="6">
        <v>3004186</v>
      </c>
      <c r="K139" s="6">
        <f>H139*1.02</f>
        <v>1128426.7344</v>
      </c>
      <c r="L139" s="6">
        <f t="shared" si="9"/>
        <v>-1875759.2656</v>
      </c>
      <c r="M139" t="s">
        <v>1555</v>
      </c>
      <c r="P139" s="6">
        <f>I139+L139</f>
        <v>-3774038.5455999998</v>
      </c>
    </row>
    <row r="140" spans="1:30">
      <c r="A140" s="5" t="s">
        <v>403</v>
      </c>
      <c r="B140" s="5" t="s">
        <v>458</v>
      </c>
      <c r="C140" s="5" t="s">
        <v>459</v>
      </c>
      <c r="D140" s="5" t="s">
        <v>460</v>
      </c>
      <c r="E140" s="6">
        <v>10887927</v>
      </c>
      <c r="F140" s="6">
        <v>9928914</v>
      </c>
      <c r="G140" s="6">
        <v>13492405</v>
      </c>
      <c r="H140" s="6">
        <f>F140*1.12</f>
        <v>11120383.680000002</v>
      </c>
      <c r="I140" s="6">
        <f t="shared" si="8"/>
        <v>-2372021.3199999984</v>
      </c>
      <c r="J140" s="6">
        <v>13639934</v>
      </c>
      <c r="K140" s="6">
        <f>H140*1.02</f>
        <v>11342791.353600001</v>
      </c>
      <c r="L140" s="6">
        <f t="shared" si="9"/>
        <v>-2297142.646399999</v>
      </c>
      <c r="M140" t="s">
        <v>1554</v>
      </c>
      <c r="P140" s="6">
        <f>I140+L140</f>
        <v>-4669163.9663999975</v>
      </c>
    </row>
    <row r="141" spans="1:30">
      <c r="A141" s="5" t="s">
        <v>403</v>
      </c>
      <c r="B141" s="5" t="s">
        <v>461</v>
      </c>
      <c r="C141" s="5" t="s">
        <v>462</v>
      </c>
      <c r="D141" s="5" t="s">
        <v>463</v>
      </c>
      <c r="E141" s="6">
        <v>12701601</v>
      </c>
      <c r="F141" s="6">
        <v>11788950</v>
      </c>
      <c r="G141" s="6">
        <v>16825655</v>
      </c>
      <c r="H141" s="6">
        <f>F141*1.24</f>
        <v>14618298</v>
      </c>
      <c r="I141" s="6">
        <f t="shared" si="8"/>
        <v>-2207357</v>
      </c>
      <c r="J141" s="6">
        <v>17230175</v>
      </c>
      <c r="K141" s="6">
        <f>H141*1.02</f>
        <v>14910663.960000001</v>
      </c>
      <c r="L141" s="6">
        <f t="shared" si="9"/>
        <v>-2319511.0399999991</v>
      </c>
      <c r="M141" t="s">
        <v>1555</v>
      </c>
      <c r="P141" s="6">
        <f>I141+L141</f>
        <v>-4526868.0399999991</v>
      </c>
    </row>
    <row r="142" spans="1:30">
      <c r="A142" s="5" t="s">
        <v>403</v>
      </c>
      <c r="B142" s="5" t="s">
        <v>464</v>
      </c>
      <c r="C142" s="5" t="s">
        <v>465</v>
      </c>
      <c r="D142" s="5" t="s">
        <v>466</v>
      </c>
      <c r="E142" s="6">
        <v>1566041</v>
      </c>
      <c r="F142" s="6">
        <v>1332134</v>
      </c>
      <c r="G142" s="6">
        <v>1731192</v>
      </c>
      <c r="H142" s="6">
        <f>F142*1.12</f>
        <v>1491990.08</v>
      </c>
      <c r="I142" s="6">
        <f t="shared" si="8"/>
        <v>-239201.91999999993</v>
      </c>
      <c r="J142" s="6">
        <v>1743266</v>
      </c>
      <c r="K142" s="6">
        <f>H142*1.02</f>
        <v>1521829.8816000002</v>
      </c>
      <c r="L142" s="6">
        <f t="shared" si="9"/>
        <v>-221436.1183999998</v>
      </c>
      <c r="M142" t="s">
        <v>1554</v>
      </c>
      <c r="P142" s="6">
        <f>I142+L142</f>
        <v>-460638.03839999973</v>
      </c>
    </row>
    <row r="143" spans="1:30">
      <c r="A143" s="5" t="s">
        <v>403</v>
      </c>
      <c r="B143" s="5" t="s">
        <v>467</v>
      </c>
      <c r="C143" s="5" t="s">
        <v>468</v>
      </c>
      <c r="D143" s="5" t="s">
        <v>469</v>
      </c>
      <c r="G143" s="6">
        <v>7007328</v>
      </c>
      <c r="H143" s="6">
        <v>7007328</v>
      </c>
      <c r="I143" s="6">
        <f t="shared" si="8"/>
        <v>0</v>
      </c>
      <c r="J143" s="6">
        <v>6967495</v>
      </c>
      <c r="K143" s="6">
        <v>6967495</v>
      </c>
      <c r="L143" s="6">
        <f t="shared" si="9"/>
        <v>0</v>
      </c>
    </row>
    <row r="144" spans="1:30">
      <c r="A144" s="5" t="s">
        <v>403</v>
      </c>
      <c r="B144" s="5" t="s">
        <v>470</v>
      </c>
      <c r="C144" s="5" t="s">
        <v>471</v>
      </c>
      <c r="D144" s="5" t="s">
        <v>472</v>
      </c>
      <c r="G144" s="6">
        <v>13675914</v>
      </c>
      <c r="H144" s="6">
        <v>13675914</v>
      </c>
      <c r="I144" s="6">
        <f t="shared" si="8"/>
        <v>0</v>
      </c>
      <c r="J144" s="6">
        <v>13308053</v>
      </c>
      <c r="K144" s="6">
        <v>13308053</v>
      </c>
      <c r="L144" s="6">
        <f t="shared" si="9"/>
        <v>0</v>
      </c>
    </row>
    <row r="145" spans="1:30">
      <c r="A145" s="5" t="s">
        <v>403</v>
      </c>
      <c r="B145" s="5" t="s">
        <v>473</v>
      </c>
      <c r="C145" s="5" t="s">
        <v>474</v>
      </c>
      <c r="D145" s="5" t="s">
        <v>475</v>
      </c>
      <c r="G145" s="6">
        <v>15724572</v>
      </c>
      <c r="H145" s="6">
        <v>15724572</v>
      </c>
      <c r="I145" s="6">
        <f t="shared" si="8"/>
        <v>0</v>
      </c>
      <c r="J145" s="6">
        <v>15325509</v>
      </c>
      <c r="K145" s="6">
        <v>15325509</v>
      </c>
      <c r="L145" s="6">
        <f t="shared" si="9"/>
        <v>0</v>
      </c>
    </row>
    <row r="146" spans="1:30">
      <c r="A146" s="5" t="s">
        <v>403</v>
      </c>
      <c r="B146" s="5" t="s">
        <v>476</v>
      </c>
      <c r="C146" s="5" t="s">
        <v>477</v>
      </c>
      <c r="D146" s="5" t="s">
        <v>478</v>
      </c>
      <c r="E146" s="6">
        <v>117044219</v>
      </c>
      <c r="F146" s="6">
        <v>105688364</v>
      </c>
      <c r="G146" s="6">
        <v>124387917</v>
      </c>
      <c r="H146" s="6">
        <f>F146*1.12</f>
        <v>118370967.68000001</v>
      </c>
      <c r="I146" s="6">
        <f t="shared" si="8"/>
        <v>-6016949.3199999928</v>
      </c>
      <c r="J146" s="6">
        <v>121977273</v>
      </c>
      <c r="K146" s="6">
        <f>H146*1.02</f>
        <v>120738387.0336</v>
      </c>
      <c r="L146" s="6">
        <f t="shared" si="9"/>
        <v>-1238885.9663999975</v>
      </c>
      <c r="M146" t="s">
        <v>1554</v>
      </c>
      <c r="P146" s="6">
        <f>I146+L146</f>
        <v>-7255835.2863999903</v>
      </c>
    </row>
    <row r="147" spans="1:30">
      <c r="A147" s="5" t="s">
        <v>403</v>
      </c>
      <c r="B147" s="5" t="s">
        <v>479</v>
      </c>
      <c r="C147" s="5" t="s">
        <v>480</v>
      </c>
      <c r="D147" s="5" t="s">
        <v>481</v>
      </c>
      <c r="E147" s="6">
        <v>42194961</v>
      </c>
      <c r="F147" s="6">
        <v>37661214</v>
      </c>
      <c r="G147" s="6">
        <v>40288957</v>
      </c>
      <c r="H147" s="6">
        <v>40288957</v>
      </c>
      <c r="I147" s="6">
        <f t="shared" si="8"/>
        <v>0</v>
      </c>
      <c r="J147" s="6">
        <v>39328100</v>
      </c>
      <c r="K147" s="6">
        <v>39328100</v>
      </c>
      <c r="L147" s="6">
        <f t="shared" si="9"/>
        <v>0</v>
      </c>
    </row>
    <row r="148" spans="1:30">
      <c r="A148" s="5" t="s">
        <v>403</v>
      </c>
      <c r="B148" s="5" t="s">
        <v>482</v>
      </c>
      <c r="C148" s="5" t="s">
        <v>483</v>
      </c>
      <c r="D148" s="5" t="s">
        <v>484</v>
      </c>
      <c r="E148" s="6">
        <v>13041412</v>
      </c>
      <c r="F148" s="6">
        <v>11638630</v>
      </c>
      <c r="G148" s="6">
        <v>19011996</v>
      </c>
      <c r="H148" s="6">
        <f>F148*1.24</f>
        <v>14431901.199999999</v>
      </c>
      <c r="I148" s="6">
        <f t="shared" si="8"/>
        <v>-4580094.8000000007</v>
      </c>
      <c r="J148" s="6">
        <v>18515183</v>
      </c>
      <c r="K148" s="6">
        <f>H148*1.02</f>
        <v>14720539.223999999</v>
      </c>
      <c r="L148" s="6">
        <f t="shared" si="9"/>
        <v>-3794643.7760000005</v>
      </c>
      <c r="M148" t="s">
        <v>1555</v>
      </c>
      <c r="P148" s="6">
        <f>I148+L148</f>
        <v>-8374738.5760000013</v>
      </c>
    </row>
    <row r="149" spans="1:30" s="18" customFormat="1">
      <c r="A149" s="59" t="s">
        <v>403</v>
      </c>
      <c r="B149" s="59" t="s">
        <v>485</v>
      </c>
      <c r="C149" s="59" t="s">
        <v>486</v>
      </c>
      <c r="D149" s="59" t="s">
        <v>487</v>
      </c>
      <c r="E149" s="60"/>
      <c r="F149" s="60"/>
      <c r="G149" s="60">
        <v>40550748</v>
      </c>
      <c r="H149" s="60">
        <v>34995073.555555552</v>
      </c>
      <c r="I149" s="60">
        <f t="shared" si="8"/>
        <v>-5555674.4444444478</v>
      </c>
      <c r="J149" s="60">
        <v>60919600</v>
      </c>
      <c r="K149" s="60">
        <v>55142437.235294119</v>
      </c>
      <c r="L149" s="60">
        <f t="shared" si="9"/>
        <v>-5777162.7647058815</v>
      </c>
      <c r="M149" s="18" t="s">
        <v>1501</v>
      </c>
      <c r="N149" s="59"/>
      <c r="O149" s="60"/>
      <c r="P149" s="6">
        <f>I149+L149</f>
        <v>-11332837.209150329</v>
      </c>
      <c r="Q149" s="59"/>
      <c r="R149" s="59"/>
      <c r="S149" s="59"/>
      <c r="T149" s="59"/>
      <c r="U149" s="59"/>
      <c r="V149" s="59"/>
      <c r="W149" s="59"/>
      <c r="X149" s="59"/>
      <c r="Y149" s="59"/>
      <c r="Z149" s="59"/>
      <c r="AA149" s="59"/>
      <c r="AB149" s="59"/>
      <c r="AC149" s="59"/>
      <c r="AD149" s="59"/>
    </row>
    <row r="150" spans="1:30">
      <c r="A150" s="5" t="s">
        <v>403</v>
      </c>
      <c r="B150" s="5" t="s">
        <v>488</v>
      </c>
      <c r="C150" s="5" t="s">
        <v>489</v>
      </c>
      <c r="D150" s="5" t="s">
        <v>490</v>
      </c>
      <c r="G150" s="6">
        <v>0</v>
      </c>
      <c r="H150" s="6">
        <v>0</v>
      </c>
      <c r="I150" s="6">
        <f t="shared" si="8"/>
        <v>0</v>
      </c>
      <c r="J150" s="6">
        <v>0</v>
      </c>
      <c r="K150" s="6">
        <v>0</v>
      </c>
      <c r="L150" s="6">
        <f t="shared" si="9"/>
        <v>0</v>
      </c>
    </row>
    <row r="151" spans="1:30">
      <c r="A151" s="5" t="s">
        <v>491</v>
      </c>
      <c r="B151" s="5" t="s">
        <v>492</v>
      </c>
      <c r="C151" s="5" t="s">
        <v>493</v>
      </c>
      <c r="D151" s="5" t="s">
        <v>494</v>
      </c>
      <c r="G151" s="6">
        <v>350617</v>
      </c>
      <c r="H151" s="6">
        <v>350617</v>
      </c>
      <c r="I151" s="60">
        <f t="shared" si="8"/>
        <v>0</v>
      </c>
      <c r="J151" s="6">
        <v>353708</v>
      </c>
      <c r="K151" s="6">
        <v>353708</v>
      </c>
      <c r="L151" s="6">
        <f t="shared" si="9"/>
        <v>0</v>
      </c>
    </row>
    <row r="152" spans="1:30">
      <c r="A152" s="5" t="s">
        <v>491</v>
      </c>
      <c r="B152" s="5" t="s">
        <v>495</v>
      </c>
      <c r="C152" s="5" t="s">
        <v>496</v>
      </c>
      <c r="D152" s="5" t="s">
        <v>497</v>
      </c>
      <c r="G152" s="6">
        <v>1104454</v>
      </c>
      <c r="H152" s="6">
        <v>1104454</v>
      </c>
      <c r="I152" s="6">
        <f t="shared" si="8"/>
        <v>0</v>
      </c>
      <c r="J152" s="6">
        <v>1140750</v>
      </c>
      <c r="K152" s="6">
        <v>1140750</v>
      </c>
      <c r="L152" s="6">
        <f t="shared" si="9"/>
        <v>0</v>
      </c>
    </row>
    <row r="153" spans="1:30">
      <c r="A153" s="5" t="s">
        <v>498</v>
      </c>
      <c r="B153" s="5" t="s">
        <v>499</v>
      </c>
      <c r="C153" s="5" t="s">
        <v>500</v>
      </c>
      <c r="D153" s="5" t="s">
        <v>501</v>
      </c>
      <c r="E153" s="6">
        <v>1308941</v>
      </c>
      <c r="F153" s="6">
        <v>1284722</v>
      </c>
      <c r="G153" s="6">
        <v>3014449</v>
      </c>
      <c r="H153" s="6">
        <v>3014449</v>
      </c>
      <c r="I153" s="6">
        <f t="shared" si="8"/>
        <v>0</v>
      </c>
      <c r="J153" s="6">
        <v>2739088</v>
      </c>
      <c r="K153" s="6">
        <v>2739088</v>
      </c>
      <c r="L153" s="6">
        <f t="shared" si="9"/>
        <v>0</v>
      </c>
      <c r="P153" s="6"/>
    </row>
    <row r="154" spans="1:30">
      <c r="A154" s="5" t="s">
        <v>498</v>
      </c>
      <c r="B154" s="5" t="s">
        <v>519</v>
      </c>
      <c r="C154" s="5" t="s">
        <v>520</v>
      </c>
      <c r="D154" s="5" t="s">
        <v>521</v>
      </c>
      <c r="G154" s="6">
        <v>3578338</v>
      </c>
      <c r="H154" s="6">
        <v>3578338</v>
      </c>
      <c r="I154" s="6">
        <f t="shared" si="8"/>
        <v>0</v>
      </c>
      <c r="J154" s="6">
        <v>3187930</v>
      </c>
      <c r="K154" s="6">
        <v>3187930</v>
      </c>
      <c r="L154" s="6">
        <f t="shared" si="9"/>
        <v>0</v>
      </c>
    </row>
    <row r="155" spans="1:30">
      <c r="A155" s="5" t="s">
        <v>498</v>
      </c>
      <c r="B155" s="5" t="s">
        <v>522</v>
      </c>
      <c r="C155" s="5" t="s">
        <v>523</v>
      </c>
      <c r="D155" s="5" t="s">
        <v>524</v>
      </c>
      <c r="E155" s="6">
        <v>275519</v>
      </c>
      <c r="F155" s="6">
        <v>279382</v>
      </c>
      <c r="G155" s="6">
        <v>455635</v>
      </c>
      <c r="H155" s="6">
        <f>F155*1.06</f>
        <v>296144.92000000004</v>
      </c>
      <c r="I155" s="6">
        <f t="shared" si="8"/>
        <v>-159490.07999999996</v>
      </c>
      <c r="J155" s="6">
        <v>446228</v>
      </c>
      <c r="K155" s="6">
        <f>H155*1.02</f>
        <v>302067.81840000005</v>
      </c>
      <c r="L155" s="6">
        <f t="shared" si="9"/>
        <v>-144160.18159999995</v>
      </c>
      <c r="M155" t="s">
        <v>1502</v>
      </c>
      <c r="P155" s="6">
        <f>I155+L155</f>
        <v>-303650.26159999991</v>
      </c>
    </row>
    <row r="156" spans="1:30">
      <c r="A156" s="5" t="s">
        <v>498</v>
      </c>
      <c r="B156" s="5" t="s">
        <v>525</v>
      </c>
      <c r="C156" s="5" t="s">
        <v>526</v>
      </c>
      <c r="D156" s="5" t="s">
        <v>527</v>
      </c>
      <c r="G156" s="6">
        <v>1037379</v>
      </c>
      <c r="H156" s="6">
        <v>1037379</v>
      </c>
      <c r="I156" s="6">
        <f t="shared" si="8"/>
        <v>0</v>
      </c>
      <c r="J156" s="6">
        <v>1042347</v>
      </c>
      <c r="K156" s="6">
        <v>1042347</v>
      </c>
      <c r="L156" s="6">
        <f t="shared" si="9"/>
        <v>0</v>
      </c>
    </row>
    <row r="157" spans="1:30">
      <c r="A157" s="5" t="s">
        <v>498</v>
      </c>
      <c r="B157" s="5" t="s">
        <v>528</v>
      </c>
      <c r="C157" s="5" t="s">
        <v>529</v>
      </c>
      <c r="D157" s="5" t="s">
        <v>530</v>
      </c>
      <c r="G157" s="6">
        <v>0</v>
      </c>
      <c r="H157" s="6">
        <v>0</v>
      </c>
      <c r="I157" s="6">
        <f t="shared" si="8"/>
        <v>0</v>
      </c>
      <c r="J157" s="6">
        <v>0</v>
      </c>
      <c r="K157" s="6">
        <v>0</v>
      </c>
      <c r="L157" s="6">
        <f t="shared" si="9"/>
        <v>0</v>
      </c>
    </row>
    <row r="158" spans="1:30">
      <c r="A158" s="5" t="s">
        <v>498</v>
      </c>
      <c r="B158" s="5" t="s">
        <v>531</v>
      </c>
      <c r="C158" s="5" t="s">
        <v>532</v>
      </c>
      <c r="D158" s="5" t="s">
        <v>533</v>
      </c>
      <c r="E158" s="6">
        <v>865102</v>
      </c>
      <c r="F158" s="6">
        <v>874580</v>
      </c>
      <c r="G158" s="6">
        <v>1308096</v>
      </c>
      <c r="H158" s="6">
        <f>F158*1.06</f>
        <v>927054.8</v>
      </c>
      <c r="I158" s="6">
        <f t="shared" si="8"/>
        <v>-381041.19999999995</v>
      </c>
      <c r="J158" s="6">
        <v>1257204</v>
      </c>
      <c r="K158" s="6">
        <f>H158*1.02</f>
        <v>945595.89600000007</v>
      </c>
      <c r="L158" s="6">
        <f t="shared" si="9"/>
        <v>-311608.10399999993</v>
      </c>
      <c r="M158" s="11" t="s">
        <v>1502</v>
      </c>
      <c r="P158" s="6">
        <f>I158+L158</f>
        <v>-692649.30399999989</v>
      </c>
    </row>
    <row r="159" spans="1:30">
      <c r="A159" s="5" t="s">
        <v>498</v>
      </c>
      <c r="B159" s="5" t="s">
        <v>534</v>
      </c>
      <c r="C159" s="5" t="s">
        <v>535</v>
      </c>
      <c r="D159" s="5" t="s">
        <v>536</v>
      </c>
      <c r="G159" s="6">
        <v>2240522</v>
      </c>
      <c r="H159" s="6">
        <v>2240522</v>
      </c>
      <c r="I159" s="6">
        <f t="shared" si="8"/>
        <v>0</v>
      </c>
      <c r="J159" s="6">
        <v>2385584</v>
      </c>
      <c r="K159" s="6">
        <v>2385584</v>
      </c>
      <c r="L159" s="6">
        <f t="shared" si="9"/>
        <v>0</v>
      </c>
    </row>
    <row r="160" spans="1:30">
      <c r="A160" s="5" t="s">
        <v>498</v>
      </c>
      <c r="B160" s="5" t="s">
        <v>537</v>
      </c>
      <c r="C160" s="5" t="s">
        <v>538</v>
      </c>
      <c r="D160" s="5" t="s">
        <v>539</v>
      </c>
      <c r="G160" s="6">
        <v>833584</v>
      </c>
      <c r="H160" s="6">
        <v>833584</v>
      </c>
      <c r="I160" s="6">
        <f t="shared" si="8"/>
        <v>0</v>
      </c>
      <c r="J160" s="6">
        <v>814024</v>
      </c>
      <c r="K160" s="6">
        <v>814024</v>
      </c>
      <c r="L160" s="6">
        <f t="shared" si="9"/>
        <v>0</v>
      </c>
    </row>
    <row r="161" spans="1:30">
      <c r="A161" s="5" t="s">
        <v>498</v>
      </c>
      <c r="B161" s="5" t="s">
        <v>540</v>
      </c>
      <c r="C161" s="5" t="s">
        <v>541</v>
      </c>
      <c r="D161" s="5" t="s">
        <v>542</v>
      </c>
      <c r="G161" s="6">
        <v>3323083</v>
      </c>
      <c r="H161" s="6">
        <v>3323083</v>
      </c>
      <c r="I161" s="6">
        <f t="shared" si="8"/>
        <v>0</v>
      </c>
      <c r="J161" s="6">
        <v>3039774</v>
      </c>
      <c r="K161" s="6">
        <v>3039774</v>
      </c>
      <c r="L161" s="6">
        <f t="shared" si="9"/>
        <v>0</v>
      </c>
    </row>
    <row r="162" spans="1:30">
      <c r="A162" s="5" t="s">
        <v>498</v>
      </c>
      <c r="B162" s="5" t="s">
        <v>543</v>
      </c>
      <c r="C162" s="5" t="s">
        <v>544</v>
      </c>
      <c r="D162" s="5" t="s">
        <v>545</v>
      </c>
      <c r="G162" s="6">
        <v>129047317</v>
      </c>
      <c r="H162" s="6">
        <f>G162-1000000</f>
        <v>128047317</v>
      </c>
      <c r="I162" s="6">
        <f t="shared" si="8"/>
        <v>-1000000</v>
      </c>
      <c r="J162" s="6">
        <v>129097063</v>
      </c>
      <c r="K162" s="6">
        <f>J162-1000000</f>
        <v>128097063</v>
      </c>
      <c r="L162" s="6">
        <f t="shared" si="9"/>
        <v>-1000000</v>
      </c>
      <c r="M162" t="s">
        <v>1503</v>
      </c>
      <c r="S162" s="6">
        <f>I162+L162</f>
        <v>-2000000</v>
      </c>
      <c r="T162" s="6"/>
    </row>
    <row r="163" spans="1:30">
      <c r="A163" s="5" t="s">
        <v>498</v>
      </c>
      <c r="B163" s="5" t="s">
        <v>546</v>
      </c>
      <c r="C163" s="5" t="s">
        <v>547</v>
      </c>
      <c r="D163" s="5" t="s">
        <v>548</v>
      </c>
      <c r="G163" s="6">
        <v>16674419</v>
      </c>
      <c r="H163" s="6">
        <v>16674419</v>
      </c>
      <c r="I163" s="6">
        <f t="shared" si="8"/>
        <v>0</v>
      </c>
      <c r="J163" s="6">
        <v>16140332</v>
      </c>
      <c r="K163" s="6">
        <v>16140332</v>
      </c>
      <c r="L163" s="6">
        <f t="shared" si="9"/>
        <v>0</v>
      </c>
      <c r="R163" s="6"/>
    </row>
    <row r="164" spans="1:30">
      <c r="A164" s="5" t="s">
        <v>498</v>
      </c>
      <c r="B164" s="5" t="s">
        <v>549</v>
      </c>
      <c r="C164" s="5" t="s">
        <v>550</v>
      </c>
      <c r="D164" s="5" t="s">
        <v>551</v>
      </c>
      <c r="G164" s="6">
        <v>1776960</v>
      </c>
      <c r="H164" s="6">
        <v>1776960</v>
      </c>
      <c r="I164" s="6">
        <f t="shared" si="8"/>
        <v>0</v>
      </c>
      <c r="J164" s="6">
        <v>1823517</v>
      </c>
      <c r="K164" s="6">
        <v>1823517</v>
      </c>
      <c r="L164" s="6">
        <f t="shared" si="9"/>
        <v>0</v>
      </c>
      <c r="N164" s="5" t="s">
        <v>1504</v>
      </c>
    </row>
    <row r="165" spans="1:30">
      <c r="A165" s="5" t="s">
        <v>555</v>
      </c>
      <c r="B165" s="5" t="s">
        <v>552</v>
      </c>
      <c r="C165" s="5" t="s">
        <v>553</v>
      </c>
      <c r="D165" s="5" t="s">
        <v>554</v>
      </c>
      <c r="G165" s="6">
        <v>2537778</v>
      </c>
      <c r="H165" s="6">
        <v>2537778</v>
      </c>
      <c r="I165" s="6">
        <f t="shared" si="8"/>
        <v>0</v>
      </c>
      <c r="J165" s="6">
        <v>2543852</v>
      </c>
      <c r="K165" s="6">
        <v>2543852</v>
      </c>
      <c r="L165" s="6">
        <f t="shared" si="9"/>
        <v>0</v>
      </c>
    </row>
    <row r="166" spans="1:30">
      <c r="A166" s="5" t="s">
        <v>558</v>
      </c>
      <c r="B166" s="5" t="s">
        <v>556</v>
      </c>
      <c r="C166" s="5" t="s">
        <v>557</v>
      </c>
      <c r="D166" s="5" t="s">
        <v>559</v>
      </c>
      <c r="E166" s="6">
        <v>41536962</v>
      </c>
      <c r="F166" s="6">
        <v>42170600</v>
      </c>
      <c r="G166" s="6">
        <v>45249151</v>
      </c>
      <c r="H166" s="6">
        <f>F166*1.06</f>
        <v>44700836</v>
      </c>
      <c r="I166" s="6">
        <f t="shared" si="8"/>
        <v>-548315</v>
      </c>
      <c r="J166" s="6">
        <v>45739786</v>
      </c>
      <c r="K166" s="6">
        <f>H166*1.02</f>
        <v>45594852.719999999</v>
      </c>
      <c r="L166" s="6">
        <f t="shared" si="9"/>
        <v>-144933.28000000119</v>
      </c>
      <c r="M166" t="s">
        <v>1505</v>
      </c>
      <c r="P166" s="6">
        <f>I166+L166</f>
        <v>-693248.28000000119</v>
      </c>
    </row>
    <row r="167" spans="1:30">
      <c r="A167" s="5" t="s">
        <v>558</v>
      </c>
      <c r="B167" s="5" t="s">
        <v>560</v>
      </c>
      <c r="C167" s="5" t="s">
        <v>561</v>
      </c>
      <c r="D167" s="5" t="s">
        <v>562</v>
      </c>
      <c r="E167" s="6">
        <v>347574</v>
      </c>
      <c r="F167" s="6">
        <v>345307</v>
      </c>
      <c r="G167" s="6">
        <v>462848</v>
      </c>
      <c r="H167" s="6">
        <f>F167*1.06</f>
        <v>366025.42000000004</v>
      </c>
      <c r="I167" s="6">
        <f t="shared" si="8"/>
        <v>-96822.579999999958</v>
      </c>
      <c r="J167" s="6">
        <v>464328</v>
      </c>
      <c r="K167" s="6">
        <f>H167*1.02</f>
        <v>373345.92840000003</v>
      </c>
      <c r="L167" s="6">
        <f t="shared" si="9"/>
        <v>-90982.071599999967</v>
      </c>
      <c r="M167" t="s">
        <v>1505</v>
      </c>
      <c r="P167" s="6">
        <f>I167+L167</f>
        <v>-187804.65159999992</v>
      </c>
    </row>
    <row r="168" spans="1:30">
      <c r="A168" s="5" t="s">
        <v>558</v>
      </c>
      <c r="B168" s="5" t="s">
        <v>563</v>
      </c>
      <c r="C168" s="5" t="s">
        <v>564</v>
      </c>
      <c r="D168" s="5" t="s">
        <v>565</v>
      </c>
      <c r="G168" s="6">
        <v>16028506</v>
      </c>
      <c r="H168" s="6">
        <v>16028506</v>
      </c>
      <c r="I168" s="6">
        <f t="shared" si="8"/>
        <v>0</v>
      </c>
      <c r="J168" s="6">
        <v>15992447</v>
      </c>
      <c r="K168" s="6">
        <v>15992447</v>
      </c>
      <c r="L168" s="6">
        <f t="shared" si="9"/>
        <v>0</v>
      </c>
      <c r="M168" s="5"/>
    </row>
    <row r="169" spans="1:30">
      <c r="A169" s="5" t="s">
        <v>566</v>
      </c>
      <c r="B169" s="5" t="s">
        <v>567</v>
      </c>
      <c r="C169" s="5" t="s">
        <v>568</v>
      </c>
      <c r="D169" s="6" t="s">
        <v>569</v>
      </c>
      <c r="G169" s="6">
        <v>14689459</v>
      </c>
      <c r="H169" s="6">
        <v>14689459</v>
      </c>
      <c r="I169" s="6">
        <f t="shared" si="8"/>
        <v>0</v>
      </c>
      <c r="J169" s="6">
        <v>14082116</v>
      </c>
      <c r="K169" s="6">
        <v>14082116</v>
      </c>
      <c r="L169" s="6">
        <f t="shared" si="9"/>
        <v>0</v>
      </c>
      <c r="M169" s="5"/>
    </row>
    <row r="170" spans="1:30">
      <c r="A170" s="5" t="s">
        <v>570</v>
      </c>
      <c r="B170" s="5" t="s">
        <v>571</v>
      </c>
      <c r="C170" s="5" t="s">
        <v>572</v>
      </c>
      <c r="D170" s="5" t="s">
        <v>573</v>
      </c>
      <c r="G170" s="6">
        <v>0</v>
      </c>
      <c r="H170" s="6">
        <v>0</v>
      </c>
      <c r="I170" s="6">
        <f t="shared" si="8"/>
        <v>0</v>
      </c>
      <c r="J170" s="6">
        <v>382868</v>
      </c>
      <c r="K170" s="6">
        <v>382868</v>
      </c>
      <c r="L170" s="6">
        <f t="shared" si="9"/>
        <v>0</v>
      </c>
      <c r="M170" s="5"/>
      <c r="P170" s="6"/>
    </row>
    <row r="171" spans="1:30" s="3" customFormat="1">
      <c r="A171" s="5" t="s">
        <v>570</v>
      </c>
      <c r="B171" s="5" t="s">
        <v>574</v>
      </c>
      <c r="C171" s="5" t="s">
        <v>575</v>
      </c>
      <c r="D171" s="5" t="s">
        <v>576</v>
      </c>
      <c r="E171" s="6">
        <v>2780609</v>
      </c>
      <c r="F171" s="6">
        <v>3033586</v>
      </c>
      <c r="G171" s="6">
        <v>4798687</v>
      </c>
      <c r="H171" s="6">
        <v>4798687</v>
      </c>
      <c r="I171" s="6">
        <f t="shared" si="8"/>
        <v>0</v>
      </c>
      <c r="J171" s="6">
        <v>4648172</v>
      </c>
      <c r="K171" s="6">
        <v>4648172</v>
      </c>
      <c r="L171" s="6">
        <f t="shared" si="9"/>
        <v>0</v>
      </c>
      <c r="M171" s="5"/>
      <c r="N171" s="5"/>
      <c r="O171" s="6"/>
      <c r="P171" s="5"/>
      <c r="Q171" s="5"/>
      <c r="R171" s="5"/>
      <c r="S171" s="5"/>
      <c r="T171" s="5"/>
      <c r="U171" s="6"/>
      <c r="V171" s="5"/>
      <c r="W171" s="5"/>
      <c r="X171" s="5"/>
      <c r="Y171" s="5"/>
      <c r="Z171" s="5"/>
      <c r="AA171" s="5"/>
      <c r="AB171" s="5"/>
      <c r="AC171" s="5"/>
      <c r="AD171" s="5"/>
    </row>
    <row r="172" spans="1:30">
      <c r="A172" s="5" t="s">
        <v>570</v>
      </c>
      <c r="B172" s="5" t="s">
        <v>577</v>
      </c>
      <c r="C172" s="5" t="s">
        <v>578</v>
      </c>
      <c r="D172" s="5" t="s">
        <v>579</v>
      </c>
      <c r="G172" s="6">
        <v>710845</v>
      </c>
      <c r="H172" s="6">
        <v>710845</v>
      </c>
      <c r="I172" s="6">
        <f t="shared" si="8"/>
        <v>0</v>
      </c>
      <c r="J172" s="6">
        <v>820874</v>
      </c>
      <c r="K172" s="6">
        <v>820874</v>
      </c>
      <c r="L172" s="6">
        <f t="shared" si="9"/>
        <v>0</v>
      </c>
      <c r="M172" s="5"/>
    </row>
    <row r="173" spans="1:30">
      <c r="A173" s="5" t="s">
        <v>570</v>
      </c>
      <c r="B173" s="5" t="s">
        <v>580</v>
      </c>
      <c r="C173" s="5" t="s">
        <v>581</v>
      </c>
      <c r="D173" s="5" t="s">
        <v>582</v>
      </c>
      <c r="G173" s="6">
        <v>6250000</v>
      </c>
      <c r="H173" s="6">
        <v>0</v>
      </c>
      <c r="I173" s="6">
        <f t="shared" si="8"/>
        <v>-6250000</v>
      </c>
      <c r="J173" s="6">
        <v>6250000</v>
      </c>
      <c r="K173" s="6">
        <v>0</v>
      </c>
      <c r="L173" s="6">
        <f t="shared" si="9"/>
        <v>-6250000</v>
      </c>
      <c r="M173" s="4" t="s">
        <v>509</v>
      </c>
      <c r="O173" s="6">
        <v>6250000</v>
      </c>
      <c r="X173" s="6">
        <f>I173+L173</f>
        <v>-12500000</v>
      </c>
    </row>
    <row r="174" spans="1:30">
      <c r="A174" s="5" t="s">
        <v>570</v>
      </c>
      <c r="B174" s="5" t="s">
        <v>583</v>
      </c>
      <c r="C174" s="5" t="s">
        <v>584</v>
      </c>
      <c r="D174" s="5" t="s">
        <v>585</v>
      </c>
      <c r="G174" s="6">
        <v>0</v>
      </c>
      <c r="H174" s="6">
        <v>0</v>
      </c>
      <c r="I174" s="6">
        <f t="shared" si="8"/>
        <v>0</v>
      </c>
      <c r="J174" s="6">
        <v>0</v>
      </c>
      <c r="K174" s="6">
        <v>0</v>
      </c>
      <c r="L174" s="6">
        <f t="shared" si="9"/>
        <v>0</v>
      </c>
    </row>
    <row r="175" spans="1:30">
      <c r="A175" s="5" t="s">
        <v>570</v>
      </c>
      <c r="B175" s="5" t="s">
        <v>586</v>
      </c>
      <c r="C175" s="5" t="s">
        <v>587</v>
      </c>
      <c r="D175" s="5" t="s">
        <v>588</v>
      </c>
      <c r="G175" s="6">
        <v>14765232</v>
      </c>
      <c r="H175" s="6">
        <v>14765232</v>
      </c>
      <c r="I175" s="6">
        <f t="shared" si="8"/>
        <v>0</v>
      </c>
      <c r="J175" s="6">
        <v>13098970</v>
      </c>
      <c r="K175" s="6">
        <v>13098970</v>
      </c>
      <c r="L175" s="6">
        <f t="shared" si="9"/>
        <v>0</v>
      </c>
    </row>
    <row r="176" spans="1:30">
      <c r="A176" s="5" t="s">
        <v>570</v>
      </c>
      <c r="B176" s="5" t="s">
        <v>589</v>
      </c>
      <c r="C176" s="5" t="s">
        <v>590</v>
      </c>
      <c r="D176" s="5" t="s">
        <v>591</v>
      </c>
      <c r="G176" s="6">
        <v>0</v>
      </c>
      <c r="H176" s="6">
        <v>0</v>
      </c>
      <c r="I176" s="6">
        <f t="shared" si="8"/>
        <v>0</v>
      </c>
      <c r="J176" s="6">
        <v>0</v>
      </c>
      <c r="K176" s="6">
        <v>0</v>
      </c>
      <c r="L176" s="6">
        <f t="shared" si="9"/>
        <v>0</v>
      </c>
    </row>
    <row r="177" spans="1:25">
      <c r="A177" s="5" t="s">
        <v>570</v>
      </c>
      <c r="B177" s="5" t="s">
        <v>592</v>
      </c>
      <c r="C177" s="5" t="s">
        <v>593</v>
      </c>
      <c r="D177" s="5" t="s">
        <v>594</v>
      </c>
      <c r="G177" s="6">
        <v>1302401</v>
      </c>
      <c r="H177" s="6">
        <v>1302401</v>
      </c>
      <c r="I177" s="6">
        <f t="shared" si="8"/>
        <v>0</v>
      </c>
      <c r="J177" s="6">
        <v>1237410</v>
      </c>
      <c r="K177" s="6">
        <v>1237410</v>
      </c>
      <c r="L177" s="6">
        <f t="shared" si="9"/>
        <v>0</v>
      </c>
      <c r="N177" s="5" t="s">
        <v>885</v>
      </c>
    </row>
    <row r="178" spans="1:25">
      <c r="A178" s="5" t="s">
        <v>570</v>
      </c>
      <c r="B178" s="5" t="s">
        <v>595</v>
      </c>
      <c r="C178" s="5" t="s">
        <v>596</v>
      </c>
      <c r="D178" s="5" t="s">
        <v>597</v>
      </c>
      <c r="G178" s="6">
        <v>0</v>
      </c>
      <c r="H178" s="6">
        <v>0</v>
      </c>
      <c r="I178" s="6">
        <f t="shared" si="8"/>
        <v>0</v>
      </c>
      <c r="J178" s="6">
        <v>0</v>
      </c>
      <c r="K178" s="6">
        <v>0</v>
      </c>
      <c r="L178" s="6">
        <f t="shared" si="9"/>
        <v>0</v>
      </c>
    </row>
    <row r="179" spans="1:25">
      <c r="A179" s="5" t="s">
        <v>570</v>
      </c>
      <c r="B179" s="5" t="s">
        <v>598</v>
      </c>
      <c r="C179" s="5" t="s">
        <v>599</v>
      </c>
      <c r="D179" s="5" t="s">
        <v>600</v>
      </c>
      <c r="G179" s="6">
        <v>0</v>
      </c>
      <c r="H179" s="6">
        <v>0</v>
      </c>
      <c r="I179" s="6">
        <f t="shared" si="8"/>
        <v>0</v>
      </c>
      <c r="J179" s="6">
        <v>0</v>
      </c>
      <c r="K179" s="6">
        <v>0</v>
      </c>
      <c r="L179" s="6">
        <f t="shared" si="9"/>
        <v>0</v>
      </c>
    </row>
    <row r="180" spans="1:25">
      <c r="A180" s="5" t="s">
        <v>570</v>
      </c>
      <c r="B180" s="5" t="s">
        <v>601</v>
      </c>
      <c r="C180" s="5" t="s">
        <v>602</v>
      </c>
      <c r="D180" s="5" t="s">
        <v>603</v>
      </c>
      <c r="G180" s="6">
        <v>0</v>
      </c>
      <c r="H180" s="6">
        <v>0</v>
      </c>
      <c r="I180" s="6">
        <f t="shared" si="8"/>
        <v>0</v>
      </c>
      <c r="J180" s="6">
        <v>0</v>
      </c>
      <c r="K180" s="6">
        <v>0</v>
      </c>
      <c r="L180" s="6">
        <f t="shared" si="9"/>
        <v>0</v>
      </c>
    </row>
    <row r="181" spans="1:25">
      <c r="A181" s="5" t="s">
        <v>570</v>
      </c>
      <c r="B181" s="5" t="s">
        <v>604</v>
      </c>
      <c r="C181" s="5" t="s">
        <v>605</v>
      </c>
      <c r="D181" s="5" t="s">
        <v>606</v>
      </c>
      <c r="G181" s="6">
        <v>0</v>
      </c>
      <c r="H181" s="6">
        <v>0</v>
      </c>
      <c r="I181" s="6">
        <f t="shared" si="8"/>
        <v>0</v>
      </c>
      <c r="J181" s="6">
        <v>0</v>
      </c>
      <c r="K181" s="6">
        <v>0</v>
      </c>
      <c r="L181" s="6">
        <f t="shared" si="9"/>
        <v>0</v>
      </c>
    </row>
    <row r="182" spans="1:25">
      <c r="A182" s="5" t="s">
        <v>570</v>
      </c>
      <c r="B182" s="5" t="s">
        <v>607</v>
      </c>
      <c r="C182" s="5" t="s">
        <v>608</v>
      </c>
      <c r="D182" s="5" t="s">
        <v>609</v>
      </c>
      <c r="G182" s="6">
        <v>566016</v>
      </c>
      <c r="H182" s="6">
        <v>544551</v>
      </c>
      <c r="I182" s="6">
        <f t="shared" si="8"/>
        <v>-21465</v>
      </c>
      <c r="J182" s="6">
        <v>575565</v>
      </c>
      <c r="K182" s="6">
        <v>549024</v>
      </c>
      <c r="L182" s="6">
        <f t="shared" si="9"/>
        <v>-26541</v>
      </c>
      <c r="M182" s="4" t="s">
        <v>129</v>
      </c>
      <c r="W182" s="6">
        <f>I182+L182</f>
        <v>-48006</v>
      </c>
    </row>
    <row r="183" spans="1:25">
      <c r="A183" s="5" t="s">
        <v>570</v>
      </c>
      <c r="B183" s="5" t="s">
        <v>610</v>
      </c>
      <c r="C183" s="5" t="s">
        <v>611</v>
      </c>
      <c r="D183" s="5" t="s">
        <v>612</v>
      </c>
      <c r="G183" s="6">
        <v>9453949</v>
      </c>
      <c r="H183" s="6">
        <v>9453949</v>
      </c>
      <c r="I183" s="6">
        <f t="shared" si="8"/>
        <v>0</v>
      </c>
      <c r="J183" s="6">
        <v>8295733</v>
      </c>
      <c r="K183" s="6">
        <v>8295733</v>
      </c>
      <c r="L183" s="6">
        <f t="shared" si="9"/>
        <v>0</v>
      </c>
    </row>
    <row r="184" spans="1:25">
      <c r="A184" s="5" t="s">
        <v>570</v>
      </c>
      <c r="B184" s="5" t="s">
        <v>613</v>
      </c>
      <c r="C184" s="5" t="s">
        <v>614</v>
      </c>
      <c r="D184" s="5" t="s">
        <v>615</v>
      </c>
      <c r="G184" s="6">
        <v>10398537</v>
      </c>
      <c r="H184" s="6">
        <v>10398537</v>
      </c>
      <c r="I184" s="6">
        <f t="shared" si="8"/>
        <v>0</v>
      </c>
      <c r="J184" s="6">
        <v>10817800</v>
      </c>
      <c r="K184" s="6">
        <v>10817800</v>
      </c>
      <c r="L184" s="6">
        <f t="shared" si="9"/>
        <v>0</v>
      </c>
    </row>
    <row r="185" spans="1:25">
      <c r="A185" s="5" t="s">
        <v>570</v>
      </c>
      <c r="B185" s="5" t="s">
        <v>616</v>
      </c>
      <c r="C185" s="5" t="s">
        <v>617</v>
      </c>
      <c r="D185" s="5" t="s">
        <v>618</v>
      </c>
      <c r="G185" s="6">
        <v>3107360</v>
      </c>
      <c r="H185" s="6">
        <v>3107360</v>
      </c>
      <c r="I185" s="6">
        <f t="shared" si="8"/>
        <v>0</v>
      </c>
      <c r="J185" s="6">
        <v>3184694</v>
      </c>
      <c r="K185" s="6">
        <v>3184694</v>
      </c>
      <c r="L185" s="6">
        <f t="shared" si="9"/>
        <v>0</v>
      </c>
    </row>
    <row r="186" spans="1:25">
      <c r="A186" s="5" t="s">
        <v>570</v>
      </c>
      <c r="B186" s="5" t="s">
        <v>619</v>
      </c>
      <c r="C186" s="5" t="s">
        <v>620</v>
      </c>
      <c r="D186" s="5" t="s">
        <v>621</v>
      </c>
      <c r="G186" s="6">
        <v>1421704</v>
      </c>
      <c r="H186" s="6">
        <v>1421704</v>
      </c>
      <c r="I186" s="6">
        <f t="shared" si="8"/>
        <v>0</v>
      </c>
      <c r="J186" s="6">
        <v>1458009</v>
      </c>
      <c r="K186" s="6">
        <v>1437506</v>
      </c>
      <c r="L186" s="6">
        <f t="shared" si="9"/>
        <v>-20503</v>
      </c>
      <c r="M186" s="4" t="s">
        <v>129</v>
      </c>
      <c r="W186" s="6">
        <f>I186+L186</f>
        <v>-20503</v>
      </c>
    </row>
    <row r="187" spans="1:25">
      <c r="A187" s="5" t="s">
        <v>570</v>
      </c>
      <c r="B187" s="5" t="s">
        <v>622</v>
      </c>
      <c r="C187" s="5" t="s">
        <v>1556</v>
      </c>
      <c r="D187" s="5" t="s">
        <v>623</v>
      </c>
      <c r="G187" s="6">
        <v>12146024</v>
      </c>
      <c r="H187" s="6">
        <v>11960378</v>
      </c>
      <c r="I187" s="6">
        <f t="shared" si="8"/>
        <v>-185646</v>
      </c>
      <c r="J187" s="6">
        <v>12431244</v>
      </c>
      <c r="K187" s="6">
        <v>11848398</v>
      </c>
      <c r="L187" s="6">
        <f t="shared" si="9"/>
        <v>-582846</v>
      </c>
      <c r="M187" s="4" t="s">
        <v>129</v>
      </c>
      <c r="O187" s="6">
        <v>525510</v>
      </c>
      <c r="W187" s="6">
        <f>I187+L187</f>
        <v>-768492</v>
      </c>
    </row>
    <row r="188" spans="1:25">
      <c r="A188" s="5" t="s">
        <v>570</v>
      </c>
      <c r="B188" s="5" t="s">
        <v>624</v>
      </c>
      <c r="C188" s="5" t="s">
        <v>625</v>
      </c>
      <c r="D188" s="5" t="s">
        <v>626</v>
      </c>
      <c r="G188" s="6">
        <v>19514194</v>
      </c>
      <c r="H188" s="6">
        <f>G188-5051042-8188589+10000000</f>
        <v>16274563</v>
      </c>
      <c r="I188" s="6">
        <f t="shared" si="8"/>
        <v>-3239631</v>
      </c>
      <c r="J188" s="6">
        <v>19911823</v>
      </c>
      <c r="K188" s="6">
        <f>J188-4851042-8584297+10000000</f>
        <v>16476484</v>
      </c>
      <c r="L188" s="6">
        <f t="shared" si="9"/>
        <v>-3435339</v>
      </c>
      <c r="M188" s="4" t="s">
        <v>1575</v>
      </c>
      <c r="N188" s="5" t="s">
        <v>1557</v>
      </c>
      <c r="O188" s="6">
        <v>3239631</v>
      </c>
      <c r="V188" s="6">
        <f>I188+L188</f>
        <v>-6674970</v>
      </c>
    </row>
    <row r="189" spans="1:25">
      <c r="A189" s="5" t="s">
        <v>570</v>
      </c>
      <c r="B189" s="5" t="s">
        <v>627</v>
      </c>
      <c r="C189" s="5" t="s">
        <v>628</v>
      </c>
      <c r="D189" s="5" t="s">
        <v>629</v>
      </c>
      <c r="G189" s="6">
        <v>2797934</v>
      </c>
      <c r="H189" s="6">
        <v>0</v>
      </c>
      <c r="I189" s="6">
        <f t="shared" si="8"/>
        <v>-2797934</v>
      </c>
      <c r="J189" s="6">
        <v>2797176</v>
      </c>
      <c r="K189" s="6">
        <v>0</v>
      </c>
      <c r="L189" s="6">
        <f t="shared" si="9"/>
        <v>-2797176</v>
      </c>
      <c r="M189" s="4" t="s">
        <v>509</v>
      </c>
      <c r="O189" s="6">
        <v>128341</v>
      </c>
      <c r="X189" s="6">
        <f>I189+L189</f>
        <v>-5595110</v>
      </c>
    </row>
    <row r="190" spans="1:25">
      <c r="A190" s="5" t="s">
        <v>570</v>
      </c>
      <c r="B190" s="5" t="s">
        <v>630</v>
      </c>
      <c r="C190" s="5" t="s">
        <v>631</v>
      </c>
      <c r="D190" s="5" t="s">
        <v>632</v>
      </c>
      <c r="G190" s="6">
        <v>8150877</v>
      </c>
      <c r="H190" s="6">
        <v>0</v>
      </c>
      <c r="I190" s="6">
        <f t="shared" si="8"/>
        <v>-8150877</v>
      </c>
      <c r="J190" s="6">
        <v>6395843</v>
      </c>
      <c r="K190" s="6">
        <v>0</v>
      </c>
      <c r="L190" s="6">
        <f t="shared" si="9"/>
        <v>-6395843</v>
      </c>
      <c r="M190" s="4" t="s">
        <v>1519</v>
      </c>
      <c r="N190" s="10"/>
      <c r="O190" s="6">
        <v>1500000</v>
      </c>
      <c r="X190" s="6">
        <f>I190+L190+(904604*2)</f>
        <v>-12737512</v>
      </c>
      <c r="Y190" s="6">
        <f>-904604*2</f>
        <v>-1809208</v>
      </c>
    </row>
    <row r="191" spans="1:25">
      <c r="A191" s="5" t="s">
        <v>570</v>
      </c>
      <c r="B191" s="5" t="s">
        <v>633</v>
      </c>
      <c r="C191" s="5" t="s">
        <v>634</v>
      </c>
      <c r="D191" s="5" t="s">
        <v>635</v>
      </c>
      <c r="G191" s="6">
        <v>652671</v>
      </c>
      <c r="H191" s="6">
        <v>652671</v>
      </c>
      <c r="I191" s="6">
        <f t="shared" si="8"/>
        <v>0</v>
      </c>
      <c r="J191" s="6">
        <v>793398</v>
      </c>
      <c r="K191" s="6">
        <f>J191-404048+266076</f>
        <v>655426</v>
      </c>
      <c r="L191" s="6">
        <f t="shared" si="9"/>
        <v>-137972</v>
      </c>
      <c r="M191" s="4" t="s">
        <v>1558</v>
      </c>
      <c r="U191" s="6">
        <f>I191+L191</f>
        <v>-137972</v>
      </c>
    </row>
    <row r="192" spans="1:25">
      <c r="A192" s="5" t="s">
        <v>570</v>
      </c>
      <c r="B192" s="5" t="s">
        <v>636</v>
      </c>
      <c r="C192" s="5" t="s">
        <v>637</v>
      </c>
      <c r="D192" s="5" t="s">
        <v>638</v>
      </c>
      <c r="G192" s="6">
        <v>7067691</v>
      </c>
      <c r="H192" s="6">
        <f>G192-834385-223900</f>
        <v>6009406</v>
      </c>
      <c r="I192" s="6">
        <f t="shared" si="8"/>
        <v>-1058285</v>
      </c>
      <c r="J192" s="6">
        <v>7966626</v>
      </c>
      <c r="K192" s="6">
        <f>J192-834385-240580</f>
        <v>6891661</v>
      </c>
      <c r="L192" s="6">
        <f t="shared" si="9"/>
        <v>-1074965</v>
      </c>
      <c r="M192" s="10" t="s">
        <v>1576</v>
      </c>
      <c r="Y192" s="6">
        <f>I192+L192</f>
        <v>-2133250</v>
      </c>
    </row>
    <row r="193" spans="1:24">
      <c r="A193" s="5" t="s">
        <v>570</v>
      </c>
      <c r="B193" s="5" t="s">
        <v>639</v>
      </c>
      <c r="C193" s="5" t="s">
        <v>640</v>
      </c>
      <c r="D193" s="5" t="s">
        <v>641</v>
      </c>
      <c r="G193" s="6">
        <v>1309233</v>
      </c>
      <c r="H193" s="6">
        <v>1309232</v>
      </c>
      <c r="I193" s="6">
        <f t="shared" si="8"/>
        <v>-1</v>
      </c>
      <c r="J193" s="6">
        <v>1389728</v>
      </c>
      <c r="K193" s="6">
        <v>1389728</v>
      </c>
      <c r="L193" s="6">
        <f t="shared" si="9"/>
        <v>0</v>
      </c>
      <c r="M193" s="4" t="s">
        <v>129</v>
      </c>
      <c r="U193" s="6">
        <f>I193+L193</f>
        <v>-1</v>
      </c>
    </row>
    <row r="194" spans="1:24">
      <c r="A194" s="5" t="s">
        <v>570</v>
      </c>
      <c r="B194" s="5" t="s">
        <v>642</v>
      </c>
      <c r="C194" s="5" t="s">
        <v>643</v>
      </c>
      <c r="D194" s="5" t="s">
        <v>644</v>
      </c>
      <c r="G194" s="6">
        <v>1195600</v>
      </c>
      <c r="H194" s="6">
        <v>1195600</v>
      </c>
      <c r="I194" s="6">
        <f t="shared" si="8"/>
        <v>0</v>
      </c>
      <c r="J194" s="6">
        <v>1069360</v>
      </c>
      <c r="K194" s="6">
        <v>1069360</v>
      </c>
      <c r="L194" s="6">
        <f t="shared" si="9"/>
        <v>0</v>
      </c>
    </row>
    <row r="195" spans="1:24">
      <c r="A195" s="5" t="s">
        <v>570</v>
      </c>
      <c r="B195" s="5" t="s">
        <v>645</v>
      </c>
      <c r="C195" s="5" t="s">
        <v>646</v>
      </c>
      <c r="D195" s="5" t="s">
        <v>647</v>
      </c>
      <c r="G195" s="6">
        <v>3029695</v>
      </c>
      <c r="H195" s="6">
        <v>3029695</v>
      </c>
      <c r="I195" s="6">
        <f t="shared" si="8"/>
        <v>0</v>
      </c>
      <c r="J195" s="6">
        <v>2822899</v>
      </c>
      <c r="K195" s="6">
        <v>2822899</v>
      </c>
      <c r="L195" s="6">
        <f t="shared" si="9"/>
        <v>0</v>
      </c>
    </row>
    <row r="196" spans="1:24">
      <c r="A196" s="5" t="s">
        <v>570</v>
      </c>
      <c r="B196" s="5" t="s">
        <v>648</v>
      </c>
      <c r="C196" s="5" t="s">
        <v>649</v>
      </c>
      <c r="D196" s="5" t="s">
        <v>650</v>
      </c>
      <c r="G196" s="6">
        <v>1784484</v>
      </c>
      <c r="H196" s="6">
        <v>1784484</v>
      </c>
      <c r="I196" s="6">
        <f t="shared" si="8"/>
        <v>0</v>
      </c>
      <c r="J196" s="6">
        <v>1953043</v>
      </c>
      <c r="K196" s="6">
        <v>1953043</v>
      </c>
      <c r="L196" s="6">
        <f t="shared" si="9"/>
        <v>0</v>
      </c>
    </row>
    <row r="197" spans="1:24">
      <c r="A197" s="5" t="s">
        <v>570</v>
      </c>
      <c r="B197" s="5" t="s">
        <v>651</v>
      </c>
      <c r="C197" s="5" t="s">
        <v>652</v>
      </c>
      <c r="D197" s="5" t="s">
        <v>653</v>
      </c>
      <c r="E197" s="6">
        <v>8233586</v>
      </c>
      <c r="F197" s="6">
        <v>8075387</v>
      </c>
      <c r="G197" s="6">
        <v>10831955</v>
      </c>
      <c r="H197" s="6">
        <f>F197*1.06</f>
        <v>8559910.2200000007</v>
      </c>
      <c r="I197" s="6">
        <f t="shared" si="8"/>
        <v>-2272044.7799999993</v>
      </c>
      <c r="J197" s="6">
        <v>8519895</v>
      </c>
      <c r="K197" s="6">
        <v>8519895</v>
      </c>
      <c r="L197" s="6">
        <f t="shared" si="9"/>
        <v>0</v>
      </c>
      <c r="M197" s="4" t="s">
        <v>1488</v>
      </c>
      <c r="U197" s="6">
        <f>I197+L197</f>
        <v>-2272044.7799999993</v>
      </c>
    </row>
    <row r="198" spans="1:24">
      <c r="A198" s="5" t="s">
        <v>570</v>
      </c>
      <c r="B198" s="5" t="s">
        <v>654</v>
      </c>
      <c r="C198" s="5" t="s">
        <v>655</v>
      </c>
      <c r="D198" s="5" t="s">
        <v>656</v>
      </c>
      <c r="E198" s="6">
        <v>2645151</v>
      </c>
      <c r="F198" s="6">
        <v>2525290</v>
      </c>
      <c r="G198" s="6">
        <v>3165979</v>
      </c>
      <c r="H198" s="6">
        <f>F198*1.06</f>
        <v>2676807.4</v>
      </c>
      <c r="I198" s="6">
        <f t="shared" ref="I198:I261" si="10">H198-G198</f>
        <v>-489171.60000000009</v>
      </c>
      <c r="J198" s="6">
        <v>3353686</v>
      </c>
      <c r="K198" s="6">
        <f>H198*1.02</f>
        <v>2730343.548</v>
      </c>
      <c r="L198" s="6">
        <f t="shared" ref="L198:L261" si="11">K198-J198</f>
        <v>-623342.45200000005</v>
      </c>
      <c r="M198" s="4" t="s">
        <v>1505</v>
      </c>
      <c r="U198" s="6">
        <f>I198+L198</f>
        <v>-1112514.0520000001</v>
      </c>
    </row>
    <row r="199" spans="1:24">
      <c r="A199" s="5" t="s">
        <v>570</v>
      </c>
      <c r="B199" s="5" t="s">
        <v>657</v>
      </c>
      <c r="C199" s="5" t="s">
        <v>658</v>
      </c>
      <c r="D199" s="5" t="s">
        <v>659</v>
      </c>
      <c r="G199" s="6">
        <v>755170</v>
      </c>
      <c r="H199" s="6">
        <v>755170</v>
      </c>
      <c r="I199" s="6">
        <f t="shared" si="10"/>
        <v>0</v>
      </c>
      <c r="J199" s="6">
        <v>922562</v>
      </c>
      <c r="K199" s="6">
        <f>J199-755724+748717</f>
        <v>915555</v>
      </c>
      <c r="L199" s="6">
        <f t="shared" si="11"/>
        <v>-7007</v>
      </c>
      <c r="M199" s="4" t="s">
        <v>1559</v>
      </c>
      <c r="W199" s="6">
        <f>I199+L199</f>
        <v>-7007</v>
      </c>
    </row>
    <row r="200" spans="1:24">
      <c r="A200" s="5" t="s">
        <v>570</v>
      </c>
      <c r="B200" s="5" t="s">
        <v>660</v>
      </c>
      <c r="C200" s="5" t="s">
        <v>661</v>
      </c>
      <c r="D200" s="5" t="s">
        <v>662</v>
      </c>
      <c r="E200" s="6">
        <v>1405535</v>
      </c>
      <c r="F200" s="6">
        <v>1428851</v>
      </c>
      <c r="G200" s="6">
        <v>1675958</v>
      </c>
      <c r="H200" s="6">
        <f>F200*1.06-102415</f>
        <v>1412167.06</v>
      </c>
      <c r="I200" s="6">
        <f t="shared" si="10"/>
        <v>-263790.93999999994</v>
      </c>
      <c r="J200" s="6">
        <v>1759338</v>
      </c>
      <c r="K200" s="6">
        <f>H200*1.02-98548</f>
        <v>1341862.4012000002</v>
      </c>
      <c r="L200" s="6">
        <f t="shared" si="11"/>
        <v>-417475.5987999998</v>
      </c>
      <c r="M200" t="s">
        <v>1560</v>
      </c>
      <c r="P200" s="6">
        <f>I200+L200</f>
        <v>-681266.53879999975</v>
      </c>
    </row>
    <row r="201" spans="1:24">
      <c r="A201" s="5" t="s">
        <v>570</v>
      </c>
      <c r="B201" s="5" t="s">
        <v>663</v>
      </c>
      <c r="C201" s="5" t="s">
        <v>664</v>
      </c>
      <c r="D201" s="5" t="s">
        <v>665</v>
      </c>
      <c r="G201" s="6">
        <v>3538693</v>
      </c>
      <c r="H201" s="6">
        <v>3270666</v>
      </c>
      <c r="I201" s="6">
        <f t="shared" si="10"/>
        <v>-268027</v>
      </c>
      <c r="J201" s="6">
        <v>3592086</v>
      </c>
      <c r="K201" s="6">
        <v>3259345</v>
      </c>
      <c r="L201" s="6">
        <f t="shared" si="11"/>
        <v>-332741</v>
      </c>
      <c r="M201" s="4" t="s">
        <v>129</v>
      </c>
      <c r="R201" s="6"/>
      <c r="W201" s="6">
        <f>I201+L201</f>
        <v>-600768</v>
      </c>
    </row>
    <row r="202" spans="1:24">
      <c r="A202" s="5" t="s">
        <v>570</v>
      </c>
      <c r="B202" s="5" t="s">
        <v>666</v>
      </c>
      <c r="C202" s="5" t="s">
        <v>667</v>
      </c>
      <c r="D202" s="5" t="s">
        <v>668</v>
      </c>
      <c r="G202" s="6">
        <v>1685126</v>
      </c>
      <c r="H202" s="6">
        <v>1638766</v>
      </c>
      <c r="I202" s="6">
        <f t="shared" si="10"/>
        <v>-46360</v>
      </c>
      <c r="J202" s="6">
        <v>1440956</v>
      </c>
      <c r="K202" s="6">
        <v>1345319</v>
      </c>
      <c r="L202" s="6">
        <f t="shared" si="11"/>
        <v>-95637</v>
      </c>
      <c r="M202" s="4" t="s">
        <v>129</v>
      </c>
      <c r="R202" s="6"/>
      <c r="W202" s="6">
        <f>I202+L202</f>
        <v>-141997</v>
      </c>
    </row>
    <row r="203" spans="1:24">
      <c r="A203" s="5" t="s">
        <v>570</v>
      </c>
      <c r="B203" s="5" t="s">
        <v>669</v>
      </c>
      <c r="C203" s="5" t="s">
        <v>670</v>
      </c>
      <c r="D203" s="5" t="s">
        <v>671</v>
      </c>
      <c r="G203" s="6">
        <v>594187</v>
      </c>
      <c r="H203" s="6">
        <v>0</v>
      </c>
      <c r="I203" s="6">
        <f t="shared" si="10"/>
        <v>-594187</v>
      </c>
      <c r="J203" s="6">
        <v>483819</v>
      </c>
      <c r="K203" s="6">
        <v>0</v>
      </c>
      <c r="L203" s="6">
        <f t="shared" si="11"/>
        <v>-483819</v>
      </c>
      <c r="M203" s="4" t="s">
        <v>509</v>
      </c>
      <c r="O203" s="6">
        <v>56063</v>
      </c>
      <c r="X203" s="6">
        <f>I203+L203</f>
        <v>-1078006</v>
      </c>
    </row>
    <row r="204" spans="1:24">
      <c r="A204" s="5" t="s">
        <v>570</v>
      </c>
      <c r="B204" s="5" t="s">
        <v>672</v>
      </c>
      <c r="C204" s="5" t="s">
        <v>673</v>
      </c>
      <c r="D204" s="5" t="s">
        <v>674</v>
      </c>
      <c r="G204" s="6">
        <v>401411</v>
      </c>
      <c r="H204" s="6">
        <v>380076</v>
      </c>
      <c r="I204" s="6">
        <f t="shared" si="10"/>
        <v>-21335</v>
      </c>
      <c r="J204" s="6">
        <v>311135</v>
      </c>
      <c r="K204" s="6">
        <v>268614</v>
      </c>
      <c r="L204" s="6">
        <f t="shared" si="11"/>
        <v>-42521</v>
      </c>
      <c r="M204" s="4" t="s">
        <v>129</v>
      </c>
      <c r="O204" s="6">
        <f>129420-108061</f>
        <v>21359</v>
      </c>
      <c r="R204" s="6"/>
      <c r="W204" s="6">
        <f>I204+L204</f>
        <v>-63856</v>
      </c>
    </row>
    <row r="205" spans="1:24">
      <c r="A205" s="5" t="s">
        <v>570</v>
      </c>
      <c r="B205" s="5" t="s">
        <v>675</v>
      </c>
      <c r="C205" s="5" t="s">
        <v>676</v>
      </c>
      <c r="D205" s="5" t="s">
        <v>677</v>
      </c>
      <c r="E205" s="6">
        <v>0</v>
      </c>
      <c r="F205" s="6">
        <v>0</v>
      </c>
      <c r="G205" s="6">
        <v>314536</v>
      </c>
      <c r="H205" s="6">
        <v>288697</v>
      </c>
      <c r="I205" s="6">
        <f t="shared" si="10"/>
        <v>-25839</v>
      </c>
      <c r="J205" s="6">
        <v>280422</v>
      </c>
      <c r="K205" s="6">
        <v>230697</v>
      </c>
      <c r="L205" s="6">
        <f t="shared" si="11"/>
        <v>-49725</v>
      </c>
      <c r="M205" s="4" t="s">
        <v>129</v>
      </c>
      <c r="O205" s="6">
        <f>178812-155523</f>
        <v>23289</v>
      </c>
      <c r="R205" s="6"/>
      <c r="W205" s="6">
        <f>I205+L205</f>
        <v>-75564</v>
      </c>
    </row>
    <row r="206" spans="1:24">
      <c r="A206" s="5" t="s">
        <v>570</v>
      </c>
      <c r="B206" s="5" t="s">
        <v>678</v>
      </c>
      <c r="C206" s="5" t="s">
        <v>679</v>
      </c>
      <c r="D206" s="5" t="s">
        <v>680</v>
      </c>
      <c r="G206" s="6">
        <v>6345308</v>
      </c>
      <c r="H206" s="6">
        <v>6088060</v>
      </c>
      <c r="I206" s="6">
        <f t="shared" si="10"/>
        <v>-257248</v>
      </c>
      <c r="J206" s="6">
        <v>6411142</v>
      </c>
      <c r="K206" s="6">
        <v>5721907</v>
      </c>
      <c r="L206" s="6">
        <f t="shared" si="11"/>
        <v>-689235</v>
      </c>
      <c r="M206" s="4" t="s">
        <v>129</v>
      </c>
      <c r="O206" s="6">
        <f>2742783-2379559</f>
        <v>363224</v>
      </c>
      <c r="R206" s="6"/>
      <c r="W206" s="6">
        <f>I206+L206</f>
        <v>-946483</v>
      </c>
    </row>
    <row r="207" spans="1:24">
      <c r="A207" s="5" t="s">
        <v>570</v>
      </c>
      <c r="B207" s="5" t="s">
        <v>681</v>
      </c>
      <c r="C207" s="5" t="s">
        <v>682</v>
      </c>
      <c r="D207" s="5" t="s">
        <v>683</v>
      </c>
      <c r="E207" s="6">
        <v>578029</v>
      </c>
      <c r="F207" s="6">
        <v>548589</v>
      </c>
      <c r="G207" s="63">
        <v>1090022</v>
      </c>
      <c r="H207" s="6">
        <f>F207*1.06</f>
        <v>581504.34000000008</v>
      </c>
      <c r="I207" s="6">
        <f t="shared" si="10"/>
        <v>-508517.65999999992</v>
      </c>
      <c r="J207" s="6">
        <v>1204164</v>
      </c>
      <c r="K207" s="6">
        <f>H207*1.02</f>
        <v>593134.42680000013</v>
      </c>
      <c r="L207" s="6">
        <f t="shared" si="11"/>
        <v>-611029.57319999987</v>
      </c>
      <c r="M207" s="4" t="s">
        <v>1488</v>
      </c>
      <c r="O207" s="6">
        <f>1090022-H207</f>
        <v>508517.65999999992</v>
      </c>
      <c r="U207" s="6">
        <f>I207+L207</f>
        <v>-1119547.2331999997</v>
      </c>
    </row>
    <row r="208" spans="1:24">
      <c r="A208" s="5" t="s">
        <v>570</v>
      </c>
      <c r="B208" s="5" t="s">
        <v>684</v>
      </c>
      <c r="C208" s="5" t="s">
        <v>685</v>
      </c>
      <c r="D208" s="5" t="s">
        <v>686</v>
      </c>
      <c r="G208" s="6">
        <v>283690</v>
      </c>
      <c r="H208" s="6">
        <f>G208+152479-177835</f>
        <v>258334</v>
      </c>
      <c r="I208" s="6">
        <f t="shared" si="10"/>
        <v>-25356</v>
      </c>
      <c r="J208" s="6">
        <v>293335</v>
      </c>
      <c r="K208" s="6">
        <f>J208+136736-183702</f>
        <v>246369</v>
      </c>
      <c r="L208" s="6">
        <f t="shared" si="11"/>
        <v>-46966</v>
      </c>
      <c r="M208" s="4" t="s">
        <v>1561</v>
      </c>
      <c r="O208" s="6">
        <v>25356</v>
      </c>
      <c r="R208" s="6"/>
      <c r="W208" s="6">
        <f>I208+L208</f>
        <v>-72322</v>
      </c>
    </row>
    <row r="209" spans="1:25">
      <c r="A209" s="5" t="s">
        <v>570</v>
      </c>
      <c r="B209" s="5" t="s">
        <v>687</v>
      </c>
      <c r="C209" s="5" t="s">
        <v>688</v>
      </c>
      <c r="D209" s="5" t="s">
        <v>689</v>
      </c>
      <c r="E209" s="6">
        <v>3769766</v>
      </c>
      <c r="F209" s="6">
        <v>3613600</v>
      </c>
      <c r="G209" s="6">
        <v>5025243</v>
      </c>
      <c r="H209" s="6">
        <f>F209*1.06</f>
        <v>3830416</v>
      </c>
      <c r="I209" s="6">
        <f t="shared" si="10"/>
        <v>-1194827</v>
      </c>
      <c r="J209" s="6">
        <v>4353582</v>
      </c>
      <c r="K209" s="6">
        <f>H209*1.02</f>
        <v>3907024.3200000003</v>
      </c>
      <c r="L209" s="6">
        <f t="shared" si="11"/>
        <v>-446557.6799999997</v>
      </c>
      <c r="M209" s="4" t="s">
        <v>1505</v>
      </c>
      <c r="O209" s="6">
        <v>1194827</v>
      </c>
      <c r="U209" s="6">
        <f>I209+L209</f>
        <v>-1641384.6799999997</v>
      </c>
    </row>
    <row r="210" spans="1:25">
      <c r="A210" s="5" t="s">
        <v>692</v>
      </c>
      <c r="B210" s="5" t="s">
        <v>690</v>
      </c>
      <c r="C210" s="5" t="s">
        <v>691</v>
      </c>
      <c r="D210" s="5" t="s">
        <v>693</v>
      </c>
      <c r="G210" s="6">
        <v>8422152</v>
      </c>
      <c r="H210" s="6">
        <v>2000000</v>
      </c>
      <c r="I210" s="6">
        <f t="shared" si="10"/>
        <v>-6422152</v>
      </c>
      <c r="J210" s="6">
        <v>8465182</v>
      </c>
      <c r="K210" s="6">
        <f>H210*1.02</f>
        <v>2040000</v>
      </c>
      <c r="L210" s="6">
        <f t="shared" si="11"/>
        <v>-6425182</v>
      </c>
      <c r="M210" t="s">
        <v>1489</v>
      </c>
      <c r="S210" s="6">
        <f>I210+L210</f>
        <v>-12847334</v>
      </c>
      <c r="T210" s="6"/>
    </row>
    <row r="211" spans="1:25">
      <c r="A211" s="5" t="s">
        <v>692</v>
      </c>
      <c r="B211" s="5" t="s">
        <v>694</v>
      </c>
      <c r="C211" s="5" t="s">
        <v>695</v>
      </c>
      <c r="D211" s="5" t="s">
        <v>696</v>
      </c>
      <c r="G211" s="6">
        <v>867963</v>
      </c>
      <c r="H211" s="6">
        <f>G211-(136276+65000)</f>
        <v>666687</v>
      </c>
      <c r="I211" s="6">
        <f t="shared" si="10"/>
        <v>-201276</v>
      </c>
      <c r="J211" s="6">
        <v>793161</v>
      </c>
      <c r="K211" s="6">
        <f>J211-(136276+70000)</f>
        <v>586885</v>
      </c>
      <c r="L211" s="6">
        <f t="shared" si="11"/>
        <v>-206276</v>
      </c>
      <c r="M211" s="4" t="s">
        <v>1490</v>
      </c>
      <c r="X211" s="6">
        <f>I211+L211</f>
        <v>-407552</v>
      </c>
    </row>
    <row r="212" spans="1:25">
      <c r="A212" s="5" t="s">
        <v>692</v>
      </c>
      <c r="B212" s="5" t="s">
        <v>697</v>
      </c>
      <c r="C212" s="5" t="s">
        <v>698</v>
      </c>
      <c r="D212" s="5" t="s">
        <v>699</v>
      </c>
      <c r="G212" s="6">
        <v>2677285</v>
      </c>
      <c r="H212" s="6">
        <v>2677285</v>
      </c>
      <c r="I212" s="6">
        <f t="shared" si="10"/>
        <v>0</v>
      </c>
      <c r="J212" s="6">
        <v>2678969</v>
      </c>
      <c r="K212" s="6">
        <v>2678969</v>
      </c>
      <c r="L212" s="6">
        <f t="shared" si="11"/>
        <v>0</v>
      </c>
      <c r="N212" s="5" t="s">
        <v>1598</v>
      </c>
    </row>
    <row r="213" spans="1:25">
      <c r="A213" s="5" t="s">
        <v>692</v>
      </c>
      <c r="B213" s="5" t="s">
        <v>700</v>
      </c>
      <c r="C213" s="5" t="s">
        <v>701</v>
      </c>
      <c r="D213" s="5" t="s">
        <v>702</v>
      </c>
      <c r="G213" s="6">
        <v>596199</v>
      </c>
      <c r="H213" s="6">
        <v>596199</v>
      </c>
      <c r="I213" s="6">
        <f t="shared" si="10"/>
        <v>0</v>
      </c>
      <c r="J213" s="6">
        <v>596640</v>
      </c>
      <c r="K213" s="6">
        <v>596640</v>
      </c>
      <c r="L213" s="6">
        <f t="shared" si="11"/>
        <v>0</v>
      </c>
      <c r="M213" s="5"/>
      <c r="N213" s="5" t="s">
        <v>1577</v>
      </c>
      <c r="S213" s="6"/>
      <c r="X213" s="6"/>
    </row>
    <row r="214" spans="1:25">
      <c r="A214" s="5" t="s">
        <v>692</v>
      </c>
      <c r="B214" s="5" t="s">
        <v>703</v>
      </c>
      <c r="C214" s="5" t="s">
        <v>704</v>
      </c>
      <c r="D214" s="5" t="s">
        <v>705</v>
      </c>
      <c r="G214" s="6">
        <v>17050773</v>
      </c>
      <c r="H214" s="6">
        <v>0</v>
      </c>
      <c r="I214" s="6">
        <f t="shared" si="10"/>
        <v>-17050773</v>
      </c>
      <c r="J214" s="6">
        <v>14174223</v>
      </c>
      <c r="K214" s="6">
        <v>0</v>
      </c>
      <c r="L214" s="6">
        <f t="shared" si="11"/>
        <v>-14174223</v>
      </c>
      <c r="M214" s="5" t="s">
        <v>509</v>
      </c>
      <c r="O214" s="6">
        <v>14174223</v>
      </c>
      <c r="S214" s="6">
        <f>I214+L214</f>
        <v>-31224996</v>
      </c>
      <c r="T214" s="6"/>
    </row>
    <row r="215" spans="1:25">
      <c r="A215" s="5" t="s">
        <v>692</v>
      </c>
      <c r="B215" s="5" t="s">
        <v>706</v>
      </c>
      <c r="C215" s="5" t="s">
        <v>707</v>
      </c>
      <c r="D215" s="5" t="s">
        <v>708</v>
      </c>
      <c r="G215" s="6">
        <v>5693131</v>
      </c>
      <c r="H215" s="6">
        <v>0</v>
      </c>
      <c r="I215" s="6">
        <f t="shared" si="10"/>
        <v>-5693131</v>
      </c>
      <c r="J215" s="6">
        <v>3391546</v>
      </c>
      <c r="K215" s="6">
        <v>0</v>
      </c>
      <c r="L215" s="6">
        <f t="shared" si="11"/>
        <v>-3391546</v>
      </c>
      <c r="M215" s="10" t="s">
        <v>1440</v>
      </c>
      <c r="O215" s="6">
        <f>2014194+15076+15000</f>
        <v>2044270</v>
      </c>
      <c r="X215" s="6"/>
      <c r="Y215" s="6">
        <f>I215+L215</f>
        <v>-9084677</v>
      </c>
    </row>
    <row r="216" spans="1:25">
      <c r="A216" s="5" t="s">
        <v>692</v>
      </c>
      <c r="B216" s="5" t="s">
        <v>709</v>
      </c>
      <c r="C216" s="5" t="s">
        <v>710</v>
      </c>
      <c r="D216" s="5" t="s">
        <v>711</v>
      </c>
      <c r="G216" s="6">
        <v>13213212</v>
      </c>
      <c r="H216" s="6">
        <v>0</v>
      </c>
      <c r="I216" s="6">
        <f t="shared" si="10"/>
        <v>-13213212</v>
      </c>
      <c r="J216" s="6">
        <v>9987638</v>
      </c>
      <c r="K216" s="6">
        <v>0</v>
      </c>
      <c r="L216" s="6">
        <f t="shared" si="11"/>
        <v>-9987638</v>
      </c>
      <c r="M216" s="5" t="s">
        <v>509</v>
      </c>
      <c r="O216" s="6">
        <v>4968959</v>
      </c>
      <c r="S216" s="6">
        <f>I216+L216</f>
        <v>-23200850</v>
      </c>
      <c r="T216" s="6"/>
    </row>
    <row r="217" spans="1:25">
      <c r="A217" s="5" t="s">
        <v>712</v>
      </c>
      <c r="B217" s="5" t="s">
        <v>713</v>
      </c>
      <c r="C217" s="5" t="s">
        <v>714</v>
      </c>
      <c r="D217" s="5" t="s">
        <v>715</v>
      </c>
      <c r="G217" s="6">
        <v>0</v>
      </c>
      <c r="H217" s="6">
        <v>0</v>
      </c>
      <c r="I217" s="6">
        <f t="shared" si="10"/>
        <v>0</v>
      </c>
      <c r="J217" s="6">
        <v>122177</v>
      </c>
      <c r="K217" s="6">
        <v>0</v>
      </c>
      <c r="L217" s="6">
        <f t="shared" si="11"/>
        <v>-122177</v>
      </c>
      <c r="M217" s="5" t="s">
        <v>510</v>
      </c>
      <c r="Q217" s="6">
        <f>I217+L217</f>
        <v>-122177</v>
      </c>
      <c r="T217" s="6"/>
    </row>
    <row r="218" spans="1:25">
      <c r="A218" s="5" t="s">
        <v>712</v>
      </c>
      <c r="B218" s="5" t="s">
        <v>716</v>
      </c>
      <c r="C218" s="5" t="s">
        <v>717</v>
      </c>
      <c r="D218" s="5" t="s">
        <v>718</v>
      </c>
      <c r="G218" s="6">
        <v>24724058</v>
      </c>
      <c r="H218" s="6">
        <f>600000+186105+283236+738311+713759+495994+67189+208593</f>
        <v>3293187</v>
      </c>
      <c r="I218" s="6">
        <f t="shared" si="10"/>
        <v>-21430871</v>
      </c>
      <c r="J218" s="6">
        <v>24588596</v>
      </c>
      <c r="K218" s="6">
        <f>600000+190751+293763+733478+725359+498705+72853+208673</f>
        <v>3323582</v>
      </c>
      <c r="L218" s="6">
        <f t="shared" si="11"/>
        <v>-21265014</v>
      </c>
      <c r="M218" s="4" t="s">
        <v>1562</v>
      </c>
      <c r="O218" s="6">
        <f>3375845+775676+783989+50000+50000</f>
        <v>5035510</v>
      </c>
      <c r="X218" s="6">
        <f>I218+L218</f>
        <v>-42695885</v>
      </c>
    </row>
    <row r="219" spans="1:25">
      <c r="A219" s="5" t="s">
        <v>712</v>
      </c>
      <c r="B219" s="5" t="s">
        <v>719</v>
      </c>
      <c r="C219" s="5" t="s">
        <v>720</v>
      </c>
      <c r="D219" s="5" t="s">
        <v>721</v>
      </c>
      <c r="G219" s="6">
        <v>105480</v>
      </c>
      <c r="H219" s="6">
        <v>0</v>
      </c>
      <c r="I219" s="6">
        <f t="shared" si="10"/>
        <v>-105480</v>
      </c>
      <c r="J219" s="6">
        <v>105480</v>
      </c>
      <c r="K219" s="6">
        <v>0</v>
      </c>
      <c r="L219" s="6">
        <f t="shared" si="11"/>
        <v>-105480</v>
      </c>
      <c r="M219" s="4" t="s">
        <v>509</v>
      </c>
      <c r="N219" s="10"/>
      <c r="X219" s="6">
        <f>I219+L219+10960</f>
        <v>-200000</v>
      </c>
      <c r="Y219" s="6">
        <f>-5480*2</f>
        <v>-10960</v>
      </c>
    </row>
    <row r="220" spans="1:25">
      <c r="A220" s="5" t="s">
        <v>712</v>
      </c>
      <c r="B220" s="5" t="s">
        <v>722</v>
      </c>
      <c r="C220" s="5" t="s">
        <v>723</v>
      </c>
      <c r="D220" s="5" t="s">
        <v>724</v>
      </c>
      <c r="G220" s="6">
        <v>1344696</v>
      </c>
      <c r="H220" s="6">
        <v>0</v>
      </c>
      <c r="I220" s="6">
        <f t="shared" si="10"/>
        <v>-1344696</v>
      </c>
      <c r="J220" s="6">
        <v>1391503</v>
      </c>
      <c r="K220" s="6">
        <v>0</v>
      </c>
      <c r="L220" s="6">
        <f t="shared" si="11"/>
        <v>-1391503</v>
      </c>
      <c r="M220" s="4" t="s">
        <v>509</v>
      </c>
      <c r="O220" s="6">
        <v>141673</v>
      </c>
      <c r="X220" s="6">
        <f>I220+L220</f>
        <v>-2736199</v>
      </c>
    </row>
    <row r="221" spans="1:25">
      <c r="A221" s="5" t="s">
        <v>712</v>
      </c>
      <c r="B221" s="5" t="s">
        <v>725</v>
      </c>
      <c r="C221" s="5" t="s">
        <v>726</v>
      </c>
      <c r="D221" s="5" t="s">
        <v>727</v>
      </c>
      <c r="G221" s="6">
        <v>50000</v>
      </c>
      <c r="H221" s="6">
        <v>0</v>
      </c>
      <c r="I221" s="6">
        <f t="shared" si="10"/>
        <v>-50000</v>
      </c>
      <c r="J221" s="6">
        <v>50000</v>
      </c>
      <c r="K221" s="6">
        <v>0</v>
      </c>
      <c r="L221" s="6">
        <f t="shared" si="11"/>
        <v>-50000</v>
      </c>
      <c r="M221" s="5" t="s">
        <v>509</v>
      </c>
      <c r="S221" s="6">
        <f>I221+L221</f>
        <v>-100000</v>
      </c>
      <c r="T221" s="6"/>
    </row>
    <row r="222" spans="1:25">
      <c r="A222" s="5" t="s">
        <v>712</v>
      </c>
      <c r="B222" s="5" t="s">
        <v>728</v>
      </c>
      <c r="C222" s="65" t="s">
        <v>729</v>
      </c>
      <c r="D222" s="5" t="s">
        <v>730</v>
      </c>
      <c r="G222" s="6">
        <v>268757</v>
      </c>
      <c r="H222" s="6">
        <v>268757</v>
      </c>
      <c r="I222" s="6">
        <f t="shared" si="10"/>
        <v>0</v>
      </c>
      <c r="J222" s="6">
        <v>281671</v>
      </c>
      <c r="K222" s="6">
        <v>281671</v>
      </c>
      <c r="L222" s="6">
        <f t="shared" si="11"/>
        <v>0</v>
      </c>
      <c r="M222" s="5"/>
    </row>
    <row r="223" spans="1:25">
      <c r="A223" s="5" t="s">
        <v>712</v>
      </c>
      <c r="B223" s="5" t="s">
        <v>731</v>
      </c>
      <c r="C223" s="5" t="s">
        <v>732</v>
      </c>
      <c r="D223" s="5" t="s">
        <v>733</v>
      </c>
      <c r="G223" s="6">
        <v>417187</v>
      </c>
      <c r="H223" s="6">
        <v>408698</v>
      </c>
      <c r="I223" s="6">
        <f t="shared" si="10"/>
        <v>-8489</v>
      </c>
      <c r="J223" s="6">
        <v>417344</v>
      </c>
      <c r="K223" s="6">
        <v>383426</v>
      </c>
      <c r="L223" s="6">
        <f t="shared" si="11"/>
        <v>-33918</v>
      </c>
      <c r="M223" s="5" t="s">
        <v>129</v>
      </c>
      <c r="R223" s="6">
        <f>I223+L223</f>
        <v>-42407</v>
      </c>
    </row>
    <row r="224" spans="1:25">
      <c r="A224" s="5" t="s">
        <v>712</v>
      </c>
      <c r="B224" s="5" t="s">
        <v>734</v>
      </c>
      <c r="C224" s="5" t="s">
        <v>735</v>
      </c>
      <c r="D224" s="5" t="s">
        <v>736</v>
      </c>
      <c r="E224" s="6">
        <v>380493</v>
      </c>
      <c r="F224" s="6">
        <v>384081</v>
      </c>
      <c r="G224" s="6">
        <v>469134</v>
      </c>
      <c r="H224" s="6">
        <f>F224*1.06</f>
        <v>407125.86000000004</v>
      </c>
      <c r="I224" s="6">
        <f t="shared" si="10"/>
        <v>-62008.139999999956</v>
      </c>
      <c r="J224" s="6">
        <v>479134</v>
      </c>
      <c r="K224" s="6">
        <f>H224*1.02</f>
        <v>415268.37720000005</v>
      </c>
      <c r="L224" s="6">
        <f t="shared" si="11"/>
        <v>-63865.622799999954</v>
      </c>
      <c r="M224" t="s">
        <v>1505</v>
      </c>
      <c r="P224" s="6">
        <f>I224+L224</f>
        <v>-125873.76279999991</v>
      </c>
    </row>
    <row r="225" spans="1:25">
      <c r="A225" s="5" t="s">
        <v>712</v>
      </c>
      <c r="B225" s="5" t="s">
        <v>737</v>
      </c>
      <c r="C225" s="5" t="s">
        <v>738</v>
      </c>
      <c r="D225" s="5" t="s">
        <v>739</v>
      </c>
      <c r="E225" s="6">
        <v>464013</v>
      </c>
      <c r="F225" s="6">
        <v>471176</v>
      </c>
      <c r="G225" s="6">
        <v>623401</v>
      </c>
      <c r="H225" s="6">
        <f>F225*1.06</f>
        <v>499446.56</v>
      </c>
      <c r="I225" s="6">
        <f t="shared" si="10"/>
        <v>-123954.44</v>
      </c>
      <c r="J225" s="6">
        <v>645809</v>
      </c>
      <c r="K225" s="6">
        <f>H225*1.02</f>
        <v>509435.49119999999</v>
      </c>
      <c r="L225" s="6">
        <f t="shared" si="11"/>
        <v>-136373.50880000001</v>
      </c>
      <c r="M225" s="11" t="s">
        <v>1505</v>
      </c>
      <c r="P225" s="6">
        <f>I225+L225</f>
        <v>-260327.94880000001</v>
      </c>
    </row>
    <row r="226" spans="1:25">
      <c r="A226" s="5" t="s">
        <v>712</v>
      </c>
      <c r="B226" s="5" t="s">
        <v>740</v>
      </c>
      <c r="C226" s="5" t="s">
        <v>741</v>
      </c>
      <c r="D226" s="5" t="s">
        <v>742</v>
      </c>
      <c r="E226" s="6">
        <v>1346616</v>
      </c>
      <c r="F226" s="6">
        <v>1376675</v>
      </c>
      <c r="G226" s="6">
        <v>1701288</v>
      </c>
      <c r="H226" s="6">
        <f>F226*1.06</f>
        <v>1459275.5</v>
      </c>
      <c r="I226" s="6">
        <f t="shared" si="10"/>
        <v>-242012.5</v>
      </c>
      <c r="J226" s="6">
        <v>1693840</v>
      </c>
      <c r="K226" s="6">
        <f>H226*1.02</f>
        <v>1488461.01</v>
      </c>
      <c r="L226" s="6">
        <f t="shared" si="11"/>
        <v>-205378.99</v>
      </c>
      <c r="M226" s="11" t="s">
        <v>1505</v>
      </c>
      <c r="P226" s="6">
        <f>I226+L226</f>
        <v>-447391.49</v>
      </c>
    </row>
    <row r="227" spans="1:25">
      <c r="A227" s="5" t="s">
        <v>712</v>
      </c>
      <c r="B227" s="5" t="s">
        <v>743</v>
      </c>
      <c r="C227" s="5" t="s">
        <v>744</v>
      </c>
      <c r="D227" s="5" t="s">
        <v>745</v>
      </c>
      <c r="E227" s="6">
        <v>1109574</v>
      </c>
      <c r="F227" s="6">
        <v>1123512</v>
      </c>
      <c r="G227" s="6">
        <v>1557838</v>
      </c>
      <c r="H227" s="6">
        <f>F227*1.06</f>
        <v>1190922.72</v>
      </c>
      <c r="I227" s="6">
        <f t="shared" si="10"/>
        <v>-366915.28</v>
      </c>
      <c r="J227" s="6">
        <v>1582572</v>
      </c>
      <c r="K227" s="6">
        <f>H227*1.02</f>
        <v>1214741.1743999999</v>
      </c>
      <c r="L227" s="6">
        <f t="shared" si="11"/>
        <v>-367830.8256000001</v>
      </c>
      <c r="M227" t="s">
        <v>1505</v>
      </c>
      <c r="P227" s="6">
        <f>I227+L227</f>
        <v>-734746.10560000013</v>
      </c>
    </row>
    <row r="228" spans="1:25">
      <c r="A228" s="5" t="s">
        <v>712</v>
      </c>
      <c r="B228" s="5" t="s">
        <v>746</v>
      </c>
      <c r="C228" s="5" t="s">
        <v>747</v>
      </c>
      <c r="D228" s="5" t="s">
        <v>748</v>
      </c>
      <c r="E228" s="6">
        <v>1119477</v>
      </c>
      <c r="F228" s="6">
        <v>1134607</v>
      </c>
      <c r="G228" s="6">
        <v>1320385</v>
      </c>
      <c r="H228" s="6">
        <f>F228*1.06</f>
        <v>1202683.4200000002</v>
      </c>
      <c r="I228" s="6">
        <f t="shared" si="10"/>
        <v>-117701.57999999984</v>
      </c>
      <c r="J228" s="6">
        <v>1327183</v>
      </c>
      <c r="K228" s="6">
        <f>H228*1.02</f>
        <v>1226737.0884000002</v>
      </c>
      <c r="L228" s="6">
        <f t="shared" si="11"/>
        <v>-100445.91159999976</v>
      </c>
      <c r="M228" t="s">
        <v>1505</v>
      </c>
      <c r="P228" s="6">
        <f>I228+L228</f>
        <v>-218147.4915999996</v>
      </c>
    </row>
    <row r="229" spans="1:25">
      <c r="A229" s="5" t="s">
        <v>712</v>
      </c>
      <c r="B229" s="5" t="s">
        <v>749</v>
      </c>
      <c r="C229" s="5" t="s">
        <v>750</v>
      </c>
      <c r="D229" s="5" t="s">
        <v>751</v>
      </c>
      <c r="G229" s="6">
        <v>2249963</v>
      </c>
      <c r="H229" s="6">
        <v>0</v>
      </c>
      <c r="I229" s="6">
        <f t="shared" si="10"/>
        <v>-2249963</v>
      </c>
      <c r="J229" s="6">
        <v>2262932</v>
      </c>
      <c r="K229" s="6">
        <v>0</v>
      </c>
      <c r="L229" s="6">
        <f t="shared" si="11"/>
        <v>-2262932</v>
      </c>
      <c r="M229" s="5" t="s">
        <v>1441</v>
      </c>
      <c r="N229" s="10"/>
      <c r="S229" s="6">
        <f>I229+L229+(663500*2)</f>
        <v>-3185895</v>
      </c>
      <c r="T229" s="6"/>
      <c r="Y229" s="6">
        <f>-663500*2</f>
        <v>-1327000</v>
      </c>
    </row>
    <row r="230" spans="1:25">
      <c r="A230" s="5" t="s">
        <v>752</v>
      </c>
      <c r="B230" s="5" t="s">
        <v>753</v>
      </c>
      <c r="C230" s="5" t="s">
        <v>754</v>
      </c>
      <c r="D230" s="5" t="s">
        <v>755</v>
      </c>
      <c r="G230" s="6">
        <v>1688983</v>
      </c>
      <c r="H230" s="6">
        <v>1688983</v>
      </c>
      <c r="I230" s="6">
        <f t="shared" si="10"/>
        <v>0</v>
      </c>
      <c r="J230" s="6">
        <v>1765048</v>
      </c>
      <c r="K230" s="6">
        <v>1764328</v>
      </c>
      <c r="L230" s="6">
        <f t="shared" si="11"/>
        <v>-720</v>
      </c>
      <c r="M230" t="s">
        <v>129</v>
      </c>
      <c r="N230" s="62" t="s">
        <v>1078</v>
      </c>
      <c r="O230" s="57"/>
      <c r="R230" s="6">
        <f>I230+L230</f>
        <v>-720</v>
      </c>
    </row>
    <row r="231" spans="1:25">
      <c r="A231" s="5" t="s">
        <v>752</v>
      </c>
      <c r="B231" s="5" t="s">
        <v>756</v>
      </c>
      <c r="C231" s="5" t="s">
        <v>757</v>
      </c>
      <c r="D231" s="5" t="s">
        <v>758</v>
      </c>
      <c r="G231" s="6">
        <v>2229840</v>
      </c>
      <c r="H231" s="6">
        <v>2229840</v>
      </c>
      <c r="I231" s="6">
        <f t="shared" si="10"/>
        <v>0</v>
      </c>
      <c r="J231" s="6">
        <v>2158340</v>
      </c>
      <c r="K231" s="6">
        <v>2158340</v>
      </c>
      <c r="L231" s="6">
        <f t="shared" si="11"/>
        <v>0</v>
      </c>
    </row>
    <row r="232" spans="1:25">
      <c r="A232" s="5" t="s">
        <v>752</v>
      </c>
      <c r="B232" s="5" t="s">
        <v>759</v>
      </c>
      <c r="C232" s="5" t="s">
        <v>760</v>
      </c>
      <c r="D232" s="5" t="s">
        <v>761</v>
      </c>
      <c r="G232" s="6">
        <v>594800</v>
      </c>
      <c r="H232" s="6">
        <v>594800</v>
      </c>
      <c r="I232" s="6">
        <f t="shared" si="10"/>
        <v>0</v>
      </c>
      <c r="J232" s="6">
        <v>602865</v>
      </c>
      <c r="K232" s="6">
        <v>602865</v>
      </c>
      <c r="L232" s="6">
        <f t="shared" si="11"/>
        <v>0</v>
      </c>
    </row>
    <row r="233" spans="1:25">
      <c r="A233" s="5" t="s">
        <v>752</v>
      </c>
      <c r="B233" s="5" t="s">
        <v>762</v>
      </c>
      <c r="C233" s="5" t="s">
        <v>763</v>
      </c>
      <c r="D233" s="5" t="s">
        <v>764</v>
      </c>
      <c r="G233" s="6">
        <v>27113513</v>
      </c>
      <c r="H233" s="6">
        <v>27113513</v>
      </c>
      <c r="I233" s="6">
        <f t="shared" si="10"/>
        <v>0</v>
      </c>
      <c r="J233" s="6">
        <v>27046199</v>
      </c>
      <c r="K233" s="6">
        <v>27046199</v>
      </c>
      <c r="L233" s="6">
        <f t="shared" si="11"/>
        <v>0</v>
      </c>
    </row>
    <row r="234" spans="1:25">
      <c r="A234" s="5" t="s">
        <v>752</v>
      </c>
      <c r="B234" s="5" t="s">
        <v>765</v>
      </c>
      <c r="C234" s="5" t="s">
        <v>766</v>
      </c>
      <c r="D234" s="5" t="s">
        <v>767</v>
      </c>
      <c r="E234" s="6">
        <v>766297</v>
      </c>
      <c r="F234" s="6">
        <v>776651</v>
      </c>
      <c r="G234" s="6">
        <v>1898922</v>
      </c>
      <c r="H234" s="6">
        <f>F234*1.06</f>
        <v>823250.06</v>
      </c>
      <c r="I234" s="6">
        <f t="shared" si="10"/>
        <v>-1075671.94</v>
      </c>
      <c r="J234" s="6">
        <v>1889200</v>
      </c>
      <c r="K234" s="6">
        <f>H234*1.02</f>
        <v>839715.06120000011</v>
      </c>
      <c r="L234" s="6">
        <f t="shared" si="11"/>
        <v>-1049484.9387999999</v>
      </c>
      <c r="M234" s="4" t="s">
        <v>1505</v>
      </c>
      <c r="P234" s="6"/>
      <c r="U234" s="6">
        <f>I234+L234</f>
        <v>-2125156.8788000001</v>
      </c>
    </row>
    <row r="235" spans="1:25">
      <c r="A235" s="5" t="s">
        <v>752</v>
      </c>
      <c r="B235" s="5" t="s">
        <v>768</v>
      </c>
      <c r="C235" s="5" t="s">
        <v>769</v>
      </c>
      <c r="D235" s="5" t="s">
        <v>770</v>
      </c>
      <c r="E235" s="6">
        <v>618860</v>
      </c>
      <c r="F235" s="6">
        <v>653552</v>
      </c>
      <c r="G235" s="6">
        <v>1164588</v>
      </c>
      <c r="H235" s="6">
        <f>F235*1.06</f>
        <v>692765.12</v>
      </c>
      <c r="I235" s="6">
        <f t="shared" si="10"/>
        <v>-471822.88</v>
      </c>
      <c r="J235" s="6">
        <v>1240564</v>
      </c>
      <c r="K235" s="6">
        <f>H235*1.02</f>
        <v>706620.42240000004</v>
      </c>
      <c r="L235" s="6">
        <f t="shared" si="11"/>
        <v>-533943.57759999996</v>
      </c>
      <c r="M235" s="4" t="s">
        <v>1505</v>
      </c>
      <c r="P235" s="6"/>
      <c r="U235" s="6">
        <f>I235+L235</f>
        <v>-1005766.4576</v>
      </c>
    </row>
    <row r="236" spans="1:25">
      <c r="A236" s="5" t="s">
        <v>752</v>
      </c>
      <c r="B236" s="5" t="s">
        <v>771</v>
      </c>
      <c r="C236" s="5" t="s">
        <v>772</v>
      </c>
      <c r="D236" s="5" t="s">
        <v>773</v>
      </c>
      <c r="G236" s="6">
        <v>1183922</v>
      </c>
      <c r="H236" s="6">
        <f>G236-180000</f>
        <v>1003922</v>
      </c>
      <c r="I236" s="6">
        <f t="shared" si="10"/>
        <v>-180000</v>
      </c>
      <c r="J236" s="6">
        <v>1201355</v>
      </c>
      <c r="K236" s="6">
        <f>J236-180000</f>
        <v>1021355</v>
      </c>
      <c r="L236" s="6">
        <f t="shared" si="11"/>
        <v>-180000</v>
      </c>
      <c r="M236" s="4" t="s">
        <v>1605</v>
      </c>
      <c r="N236" s="5" t="s">
        <v>1079</v>
      </c>
      <c r="W236" s="6">
        <f>I236+L236</f>
        <v>-360000</v>
      </c>
    </row>
    <row r="237" spans="1:25">
      <c r="A237" s="5" t="s">
        <v>752</v>
      </c>
      <c r="B237" s="5" t="s">
        <v>774</v>
      </c>
      <c r="C237" s="5" t="s">
        <v>775</v>
      </c>
      <c r="D237" s="5" t="s">
        <v>776</v>
      </c>
      <c r="G237" s="6">
        <v>14012641</v>
      </c>
      <c r="H237" s="6">
        <v>14012641</v>
      </c>
      <c r="I237" s="6">
        <f t="shared" si="10"/>
        <v>0</v>
      </c>
      <c r="J237" s="6">
        <v>14616657</v>
      </c>
      <c r="K237" s="6">
        <v>14616657</v>
      </c>
      <c r="L237" s="6">
        <f t="shared" si="11"/>
        <v>0</v>
      </c>
    </row>
    <row r="238" spans="1:25">
      <c r="A238" s="5" t="s">
        <v>752</v>
      </c>
      <c r="B238" s="5" t="s">
        <v>777</v>
      </c>
      <c r="C238" s="5" t="s">
        <v>778</v>
      </c>
      <c r="D238" s="5" t="s">
        <v>779</v>
      </c>
      <c r="G238" s="6">
        <v>0</v>
      </c>
      <c r="H238" s="6">
        <v>0</v>
      </c>
      <c r="I238" s="6">
        <f t="shared" si="10"/>
        <v>0</v>
      </c>
      <c r="J238" s="6">
        <v>0</v>
      </c>
      <c r="K238" s="6">
        <v>0</v>
      </c>
      <c r="L238" s="6">
        <f t="shared" si="11"/>
        <v>0</v>
      </c>
      <c r="M238" s="5"/>
    </row>
    <row r="239" spans="1:25">
      <c r="A239" s="5" t="s">
        <v>752</v>
      </c>
      <c r="B239" s="5" t="s">
        <v>780</v>
      </c>
      <c r="C239" s="5" t="s">
        <v>781</v>
      </c>
      <c r="D239" s="5" t="s">
        <v>782</v>
      </c>
      <c r="E239" s="6">
        <v>2707319</v>
      </c>
      <c r="F239" s="6">
        <v>2743632</v>
      </c>
      <c r="G239" s="6">
        <v>3388918</v>
      </c>
      <c r="H239" s="6">
        <f>F239*1.06</f>
        <v>2908249.92</v>
      </c>
      <c r="I239" s="6">
        <f t="shared" si="10"/>
        <v>-480668.08000000007</v>
      </c>
      <c r="J239" s="6">
        <v>3390192</v>
      </c>
      <c r="K239" s="6">
        <f>H239*1.02</f>
        <v>2966414.9183999998</v>
      </c>
      <c r="L239" s="6">
        <f t="shared" si="11"/>
        <v>-423777.08160000015</v>
      </c>
      <c r="M239" s="5" t="s">
        <v>1505</v>
      </c>
      <c r="P239" s="6">
        <f>I239+L239</f>
        <v>-904445.16160000023</v>
      </c>
    </row>
    <row r="240" spans="1:25">
      <c r="A240" s="5" t="s">
        <v>752</v>
      </c>
      <c r="B240" s="5" t="s">
        <v>783</v>
      </c>
      <c r="C240" s="5" t="s">
        <v>784</v>
      </c>
      <c r="D240" s="5" t="s">
        <v>785</v>
      </c>
      <c r="G240" s="6">
        <v>4000090</v>
      </c>
      <c r="H240" s="6">
        <v>4000090</v>
      </c>
      <c r="I240" s="6">
        <f t="shared" si="10"/>
        <v>0</v>
      </c>
      <c r="J240" s="6">
        <v>4007279</v>
      </c>
      <c r="K240" s="6">
        <v>4007279</v>
      </c>
      <c r="L240" s="6">
        <f t="shared" si="11"/>
        <v>0</v>
      </c>
      <c r="M240" s="5"/>
    </row>
    <row r="241" spans="1:25">
      <c r="A241" s="5" t="s">
        <v>752</v>
      </c>
      <c r="B241" s="5" t="s">
        <v>786</v>
      </c>
      <c r="C241" s="5" t="s">
        <v>787</v>
      </c>
      <c r="D241" s="5" t="s">
        <v>788</v>
      </c>
      <c r="G241" s="6">
        <v>3325000</v>
      </c>
      <c r="H241" s="6">
        <v>3325000</v>
      </c>
      <c r="I241" s="6">
        <f t="shared" si="10"/>
        <v>0</v>
      </c>
      <c r="J241" s="6">
        <v>3325000</v>
      </c>
      <c r="K241" s="6">
        <v>3325000</v>
      </c>
      <c r="L241" s="6">
        <f t="shared" si="11"/>
        <v>0</v>
      </c>
      <c r="M241" s="5"/>
    </row>
    <row r="242" spans="1:25">
      <c r="A242" s="5" t="s">
        <v>752</v>
      </c>
      <c r="B242" s="5" t="s">
        <v>789</v>
      </c>
      <c r="C242" s="5" t="s">
        <v>790</v>
      </c>
      <c r="D242" s="5" t="s">
        <v>791</v>
      </c>
      <c r="E242" s="6">
        <v>3826382</v>
      </c>
      <c r="F242" s="6">
        <v>5435811</v>
      </c>
      <c r="G242" s="6">
        <v>6211654</v>
      </c>
      <c r="H242" s="6">
        <v>6211654</v>
      </c>
      <c r="I242" s="6">
        <f t="shared" si="10"/>
        <v>0</v>
      </c>
      <c r="J242" s="6">
        <v>6211654</v>
      </c>
      <c r="K242" s="6">
        <v>6211654</v>
      </c>
      <c r="L242" s="6">
        <f t="shared" si="11"/>
        <v>0</v>
      </c>
      <c r="M242" s="5"/>
      <c r="Y242" s="6"/>
    </row>
    <row r="243" spans="1:25">
      <c r="A243" s="5" t="s">
        <v>752</v>
      </c>
      <c r="B243" s="5" t="s">
        <v>792</v>
      </c>
      <c r="C243" s="5" t="s">
        <v>793</v>
      </c>
      <c r="D243" s="5" t="s">
        <v>794</v>
      </c>
      <c r="G243" s="6">
        <v>23810401</v>
      </c>
      <c r="H243" s="6">
        <v>23810401</v>
      </c>
      <c r="I243" s="6">
        <f t="shared" si="10"/>
        <v>0</v>
      </c>
      <c r="J243" s="6">
        <v>23304400</v>
      </c>
      <c r="K243" s="6">
        <v>23304400</v>
      </c>
      <c r="L243" s="6">
        <f t="shared" si="11"/>
        <v>0</v>
      </c>
      <c r="M243" s="5"/>
    </row>
    <row r="244" spans="1:25">
      <c r="A244" s="5" t="s">
        <v>752</v>
      </c>
      <c r="B244" s="5" t="s">
        <v>795</v>
      </c>
      <c r="C244" s="5" t="s">
        <v>796</v>
      </c>
      <c r="D244" s="5" t="s">
        <v>797</v>
      </c>
      <c r="G244" s="6">
        <v>39502854</v>
      </c>
      <c r="H244" s="6">
        <v>39502854</v>
      </c>
      <c r="I244" s="6">
        <f t="shared" si="10"/>
        <v>0</v>
      </c>
      <c r="J244" s="6">
        <v>44688152</v>
      </c>
      <c r="K244" s="6">
        <v>44688152</v>
      </c>
      <c r="L244" s="6">
        <f t="shared" si="11"/>
        <v>0</v>
      </c>
      <c r="M244" s="5"/>
      <c r="N244" s="5" t="s">
        <v>1080</v>
      </c>
    </row>
    <row r="245" spans="1:25">
      <c r="A245" s="5" t="s">
        <v>752</v>
      </c>
      <c r="B245" s="5" t="s">
        <v>798</v>
      </c>
      <c r="C245" s="5" t="s">
        <v>799</v>
      </c>
      <c r="D245" s="5" t="s">
        <v>800</v>
      </c>
      <c r="E245" s="6">
        <v>22832845</v>
      </c>
      <c r="F245" s="6">
        <v>24451564</v>
      </c>
      <c r="G245" s="6">
        <v>33675707</v>
      </c>
      <c r="H245" s="6">
        <f>F245*1.12</f>
        <v>27385751.680000003</v>
      </c>
      <c r="I245" s="6">
        <f t="shared" si="10"/>
        <v>-6289955.3199999966</v>
      </c>
      <c r="J245" s="6">
        <v>34423277</v>
      </c>
      <c r="K245" s="6">
        <f>H245*1.02</f>
        <v>27933466.713600002</v>
      </c>
      <c r="L245" s="6">
        <f t="shared" si="11"/>
        <v>-6489810.2863999978</v>
      </c>
      <c r="M245" s="5" t="s">
        <v>1563</v>
      </c>
      <c r="P245" s="6">
        <f>I245+L245</f>
        <v>-12779765.606399994</v>
      </c>
    </row>
    <row r="246" spans="1:25">
      <c r="A246" s="5" t="s">
        <v>752</v>
      </c>
      <c r="B246" s="5" t="s">
        <v>801</v>
      </c>
      <c r="C246" s="5" t="s">
        <v>802</v>
      </c>
      <c r="D246" s="5" t="s">
        <v>803</v>
      </c>
      <c r="G246" s="6">
        <v>2836416</v>
      </c>
      <c r="H246" s="6">
        <v>2812854</v>
      </c>
      <c r="I246" s="6">
        <f t="shared" si="10"/>
        <v>-23562</v>
      </c>
      <c r="J246" s="6">
        <v>2930664</v>
      </c>
      <c r="K246" s="6">
        <v>2897378</v>
      </c>
      <c r="L246" s="6">
        <f t="shared" si="11"/>
        <v>-33286</v>
      </c>
      <c r="M246" s="5" t="s">
        <v>129</v>
      </c>
      <c r="R246" s="6">
        <f>I246+L246</f>
        <v>-56848</v>
      </c>
    </row>
    <row r="247" spans="1:25">
      <c r="A247" s="5" t="s">
        <v>752</v>
      </c>
      <c r="B247" s="5" t="s">
        <v>804</v>
      </c>
      <c r="C247" s="5" t="s">
        <v>805</v>
      </c>
      <c r="D247" s="5" t="s">
        <v>806</v>
      </c>
      <c r="E247" s="6">
        <v>34412501</v>
      </c>
      <c r="F247" s="6">
        <v>34458018</v>
      </c>
      <c r="G247" s="6">
        <v>37452473</v>
      </c>
      <c r="H247" s="6">
        <f>F247*1.06</f>
        <v>36525499.079999998</v>
      </c>
      <c r="I247" s="6">
        <f t="shared" si="10"/>
        <v>-926973.92000000179</v>
      </c>
      <c r="J247" s="6">
        <v>43511649</v>
      </c>
      <c r="K247" s="6">
        <f>H247*1.02</f>
        <v>37256009.0616</v>
      </c>
      <c r="L247" s="6">
        <f t="shared" si="11"/>
        <v>-6255639.9384000003</v>
      </c>
      <c r="M247" s="5" t="s">
        <v>1505</v>
      </c>
      <c r="P247" s="6">
        <f>I247+L247</f>
        <v>-7182613.8584000021</v>
      </c>
    </row>
    <row r="248" spans="1:25">
      <c r="A248" s="5" t="s">
        <v>752</v>
      </c>
      <c r="B248" s="5" t="s">
        <v>807</v>
      </c>
      <c r="C248" s="5" t="s">
        <v>808</v>
      </c>
      <c r="D248" s="5" t="s">
        <v>809</v>
      </c>
      <c r="E248" s="6">
        <v>86593578</v>
      </c>
      <c r="F248" s="6">
        <v>86841985</v>
      </c>
      <c r="G248" s="6">
        <v>106706400</v>
      </c>
      <c r="H248" s="6">
        <f>F248*1.12</f>
        <v>97263023.200000003</v>
      </c>
      <c r="I248" s="6">
        <f t="shared" si="10"/>
        <v>-9443376.799999997</v>
      </c>
      <c r="J248" s="6">
        <v>119592576</v>
      </c>
      <c r="K248" s="6">
        <f>H248*1.02</f>
        <v>99208283.664000005</v>
      </c>
      <c r="L248" s="6">
        <f t="shared" si="11"/>
        <v>-20384292.335999995</v>
      </c>
      <c r="M248" t="s">
        <v>1563</v>
      </c>
      <c r="N248" s="5" t="s">
        <v>1564</v>
      </c>
      <c r="P248" s="6">
        <f>I248+L248</f>
        <v>-29827669.135999992</v>
      </c>
    </row>
    <row r="249" spans="1:25">
      <c r="A249" s="5" t="s">
        <v>752</v>
      </c>
      <c r="B249" s="5" t="s">
        <v>810</v>
      </c>
      <c r="C249" s="5" t="s">
        <v>811</v>
      </c>
      <c r="D249" s="5" t="s">
        <v>812</v>
      </c>
      <c r="E249" s="6">
        <v>14663030</v>
      </c>
      <c r="F249" s="6">
        <v>14692561</v>
      </c>
      <c r="G249" s="6">
        <v>16422504</v>
      </c>
      <c r="H249" s="6">
        <f>F249*1.06</f>
        <v>15574114.66</v>
      </c>
      <c r="I249" s="6">
        <f t="shared" si="10"/>
        <v>-848389.33999999985</v>
      </c>
      <c r="J249" s="6">
        <v>19354004</v>
      </c>
      <c r="K249" s="6">
        <f>H249*1.02</f>
        <v>15885596.953200001</v>
      </c>
      <c r="L249" s="6">
        <f t="shared" si="11"/>
        <v>-3468407.0467999987</v>
      </c>
      <c r="M249" t="s">
        <v>1502</v>
      </c>
      <c r="N249" s="5" t="s">
        <v>1564</v>
      </c>
      <c r="P249" s="6">
        <f>I249+L249</f>
        <v>-4316796.3867999986</v>
      </c>
    </row>
    <row r="250" spans="1:25">
      <c r="A250" s="5" t="s">
        <v>752</v>
      </c>
      <c r="B250" s="5" t="s">
        <v>813</v>
      </c>
      <c r="C250" s="5" t="s">
        <v>814</v>
      </c>
      <c r="D250" s="5" t="s">
        <v>815</v>
      </c>
      <c r="G250" s="6">
        <v>161455888</v>
      </c>
      <c r="H250" s="6">
        <v>161455888</v>
      </c>
      <c r="I250" s="6">
        <f t="shared" si="10"/>
        <v>0</v>
      </c>
      <c r="J250" s="6">
        <v>135869369</v>
      </c>
      <c r="K250" s="6">
        <v>135869369</v>
      </c>
      <c r="L250" s="6">
        <f t="shared" si="11"/>
        <v>0</v>
      </c>
    </row>
    <row r="251" spans="1:25">
      <c r="A251" s="5" t="s">
        <v>752</v>
      </c>
      <c r="B251" s="5" t="s">
        <v>816</v>
      </c>
      <c r="C251" s="5" t="s">
        <v>817</v>
      </c>
      <c r="D251" s="5" t="s">
        <v>818</v>
      </c>
      <c r="E251" s="6">
        <v>128889283</v>
      </c>
      <c r="F251" s="6">
        <v>145164062</v>
      </c>
      <c r="G251" s="6">
        <v>169401281</v>
      </c>
      <c r="H251" s="6">
        <v>169401281</v>
      </c>
      <c r="I251" s="6">
        <f t="shared" si="10"/>
        <v>0</v>
      </c>
      <c r="J251" s="6">
        <v>178549113</v>
      </c>
      <c r="K251" s="6">
        <v>178549113</v>
      </c>
      <c r="L251" s="6">
        <f t="shared" si="11"/>
        <v>0</v>
      </c>
      <c r="N251" s="62" t="s">
        <v>1081</v>
      </c>
      <c r="O251" s="57"/>
    </row>
    <row r="252" spans="1:25">
      <c r="A252" s="5" t="s">
        <v>752</v>
      </c>
      <c r="B252" s="5" t="s">
        <v>819</v>
      </c>
      <c r="C252" s="5" t="s">
        <v>820</v>
      </c>
      <c r="D252" s="5" t="s">
        <v>821</v>
      </c>
      <c r="G252" s="6">
        <v>30831193</v>
      </c>
      <c r="H252" s="6">
        <v>30831193</v>
      </c>
      <c r="I252" s="6">
        <f t="shared" si="10"/>
        <v>0</v>
      </c>
      <c r="J252" s="6">
        <v>31118508</v>
      </c>
      <c r="K252" s="6">
        <v>31118508</v>
      </c>
      <c r="L252" s="6">
        <f t="shared" si="11"/>
        <v>0</v>
      </c>
    </row>
    <row r="253" spans="1:25">
      <c r="A253" s="5" t="s">
        <v>752</v>
      </c>
      <c r="B253" s="5" t="s">
        <v>822</v>
      </c>
      <c r="C253" s="5" t="s">
        <v>823</v>
      </c>
      <c r="D253" s="5" t="s">
        <v>824</v>
      </c>
      <c r="G253" s="6">
        <v>26820295</v>
      </c>
      <c r="H253" s="6">
        <v>26820295</v>
      </c>
      <c r="I253" s="6">
        <f t="shared" si="10"/>
        <v>0</v>
      </c>
      <c r="J253" s="6">
        <v>26798274</v>
      </c>
      <c r="K253" s="6">
        <v>26798274</v>
      </c>
      <c r="L253" s="6">
        <f t="shared" si="11"/>
        <v>0</v>
      </c>
    </row>
    <row r="254" spans="1:25">
      <c r="A254" s="5" t="s">
        <v>752</v>
      </c>
      <c r="B254" s="5" t="s">
        <v>825</v>
      </c>
      <c r="C254" s="5" t="s">
        <v>826</v>
      </c>
      <c r="D254" s="5" t="s">
        <v>827</v>
      </c>
      <c r="G254" s="6">
        <v>3058121408</v>
      </c>
      <c r="H254" s="6">
        <v>3058121408</v>
      </c>
      <c r="I254" s="6">
        <f t="shared" si="10"/>
        <v>0</v>
      </c>
      <c r="J254" s="6">
        <v>3160411554</v>
      </c>
      <c r="K254" s="6">
        <v>3160411554</v>
      </c>
      <c r="L254" s="6">
        <f t="shared" si="11"/>
        <v>0</v>
      </c>
      <c r="N254" s="62" t="s">
        <v>1406</v>
      </c>
      <c r="O254" s="57"/>
    </row>
    <row r="255" spans="1:25">
      <c r="A255" s="5" t="s">
        <v>752</v>
      </c>
      <c r="B255" s="5" t="s">
        <v>828</v>
      </c>
      <c r="C255" s="5" t="s">
        <v>829</v>
      </c>
      <c r="D255" s="5" t="s">
        <v>830</v>
      </c>
      <c r="G255" s="6">
        <v>4741062</v>
      </c>
      <c r="H255" s="6">
        <v>4741062</v>
      </c>
      <c r="I255" s="6">
        <f t="shared" si="10"/>
        <v>0</v>
      </c>
      <c r="J255" s="6">
        <v>4732866</v>
      </c>
      <c r="K255" s="6">
        <v>4732866</v>
      </c>
      <c r="L255" s="6">
        <f t="shared" si="11"/>
        <v>0</v>
      </c>
    </row>
    <row r="256" spans="1:25">
      <c r="A256" s="5" t="s">
        <v>752</v>
      </c>
      <c r="B256" s="5" t="s">
        <v>831</v>
      </c>
      <c r="C256" s="5" t="s">
        <v>832</v>
      </c>
      <c r="D256" s="5" t="s">
        <v>833</v>
      </c>
      <c r="G256" s="6">
        <v>1573988</v>
      </c>
      <c r="H256" s="6">
        <v>1573988</v>
      </c>
      <c r="I256" s="6">
        <f t="shared" si="10"/>
        <v>0</v>
      </c>
      <c r="J256" s="6">
        <v>1598650</v>
      </c>
      <c r="K256" s="6">
        <v>1573986</v>
      </c>
      <c r="L256" s="6">
        <f t="shared" si="11"/>
        <v>-24664</v>
      </c>
      <c r="M256" s="4" t="s">
        <v>129</v>
      </c>
      <c r="R256" s="6"/>
      <c r="W256" s="6">
        <f>I256+L256</f>
        <v>-24664</v>
      </c>
    </row>
    <row r="257" spans="1:23">
      <c r="A257" s="5" t="s">
        <v>752</v>
      </c>
      <c r="B257" s="5" t="s">
        <v>834</v>
      </c>
      <c r="C257" s="5" t="s">
        <v>835</v>
      </c>
      <c r="D257" s="5" t="s">
        <v>836</v>
      </c>
      <c r="G257" s="6">
        <v>217531</v>
      </c>
      <c r="H257" s="6">
        <v>217531</v>
      </c>
      <c r="I257" s="6">
        <f t="shared" si="10"/>
        <v>0</v>
      </c>
      <c r="J257" s="6">
        <v>217531</v>
      </c>
      <c r="K257" s="6">
        <v>217531</v>
      </c>
      <c r="L257" s="6">
        <f t="shared" si="11"/>
        <v>0</v>
      </c>
    </row>
    <row r="258" spans="1:23">
      <c r="A258" s="5" t="s">
        <v>752</v>
      </c>
      <c r="B258" s="5" t="s">
        <v>837</v>
      </c>
      <c r="C258" s="5" t="s">
        <v>838</v>
      </c>
      <c r="D258" s="5" t="s">
        <v>839</v>
      </c>
      <c r="G258" s="6">
        <v>1151774</v>
      </c>
      <c r="H258" s="6">
        <v>1151774</v>
      </c>
      <c r="I258" s="6">
        <f t="shared" si="10"/>
        <v>0</v>
      </c>
      <c r="J258" s="6">
        <v>953757</v>
      </c>
      <c r="K258" s="6">
        <v>953757</v>
      </c>
      <c r="L258" s="6">
        <f t="shared" si="11"/>
        <v>0</v>
      </c>
      <c r="N258" s="5" t="s">
        <v>1442</v>
      </c>
    </row>
    <row r="259" spans="1:23">
      <c r="A259" s="5" t="s">
        <v>752</v>
      </c>
      <c r="B259" s="5" t="s">
        <v>840</v>
      </c>
      <c r="C259" s="5" t="s">
        <v>841</v>
      </c>
      <c r="D259" s="5" t="s">
        <v>842</v>
      </c>
      <c r="G259" s="6">
        <v>2440673</v>
      </c>
      <c r="H259" s="6">
        <v>2440673</v>
      </c>
      <c r="I259" s="6">
        <f t="shared" si="10"/>
        <v>0</v>
      </c>
      <c r="J259" s="6">
        <v>2444722</v>
      </c>
      <c r="K259" s="6">
        <v>2444722</v>
      </c>
      <c r="L259" s="6">
        <f t="shared" si="11"/>
        <v>0</v>
      </c>
    </row>
    <row r="260" spans="1:23">
      <c r="A260" s="5" t="s">
        <v>752</v>
      </c>
      <c r="B260" s="5" t="s">
        <v>843</v>
      </c>
      <c r="C260" s="5" t="s">
        <v>844</v>
      </c>
      <c r="D260" s="5" t="s">
        <v>845</v>
      </c>
      <c r="G260" s="6">
        <v>2295087</v>
      </c>
      <c r="H260" s="6">
        <v>2295087</v>
      </c>
      <c r="I260" s="6">
        <f t="shared" si="10"/>
        <v>0</v>
      </c>
      <c r="J260" s="6">
        <v>2171682</v>
      </c>
      <c r="K260" s="6">
        <v>2171682</v>
      </c>
      <c r="L260" s="6">
        <f t="shared" si="11"/>
        <v>0</v>
      </c>
    </row>
    <row r="261" spans="1:23">
      <c r="A261" s="5" t="s">
        <v>752</v>
      </c>
      <c r="B261" s="5" t="s">
        <v>846</v>
      </c>
      <c r="C261" s="5" t="s">
        <v>847</v>
      </c>
      <c r="D261" s="5" t="s">
        <v>848</v>
      </c>
      <c r="G261" s="6">
        <v>4153964</v>
      </c>
      <c r="H261" s="6">
        <v>4153964</v>
      </c>
      <c r="I261" s="6">
        <f t="shared" si="10"/>
        <v>0</v>
      </c>
      <c r="J261" s="6">
        <v>3872279</v>
      </c>
      <c r="K261" s="6">
        <v>3872279</v>
      </c>
      <c r="L261" s="6">
        <f t="shared" si="11"/>
        <v>0</v>
      </c>
    </row>
    <row r="262" spans="1:23">
      <c r="A262" s="5" t="s">
        <v>752</v>
      </c>
      <c r="B262" s="5" t="s">
        <v>849</v>
      </c>
      <c r="C262" s="5" t="s">
        <v>850</v>
      </c>
      <c r="D262" s="5" t="s">
        <v>851</v>
      </c>
      <c r="G262" s="6">
        <v>69511922</v>
      </c>
      <c r="H262" s="6">
        <v>69511922</v>
      </c>
      <c r="I262" s="6">
        <f t="shared" ref="I262:I325" si="12">H262-G262</f>
        <v>0</v>
      </c>
      <c r="J262" s="6">
        <v>69511922</v>
      </c>
      <c r="K262" s="6">
        <v>69511922</v>
      </c>
      <c r="L262" s="6">
        <f t="shared" ref="L262:L325" si="13">K262-J262</f>
        <v>0</v>
      </c>
    </row>
    <row r="263" spans="1:23">
      <c r="A263" s="5" t="s">
        <v>752</v>
      </c>
      <c r="B263" s="5" t="s">
        <v>852</v>
      </c>
      <c r="C263" s="5" t="s">
        <v>853</v>
      </c>
      <c r="D263" s="5" t="s">
        <v>854</v>
      </c>
      <c r="G263" s="6">
        <v>16152314</v>
      </c>
      <c r="H263" s="6">
        <v>16152314</v>
      </c>
      <c r="I263" s="6">
        <f t="shared" si="12"/>
        <v>0</v>
      </c>
      <c r="J263" s="6">
        <v>16152879</v>
      </c>
      <c r="K263" s="6">
        <v>16152879</v>
      </c>
      <c r="L263" s="6">
        <f t="shared" si="13"/>
        <v>0</v>
      </c>
    </row>
    <row r="264" spans="1:23">
      <c r="A264" s="5" t="s">
        <v>752</v>
      </c>
      <c r="B264" s="5" t="s">
        <v>855</v>
      </c>
      <c r="C264" s="5" t="s">
        <v>856</v>
      </c>
      <c r="D264" s="5" t="s">
        <v>859</v>
      </c>
      <c r="G264" s="6">
        <v>17775586</v>
      </c>
      <c r="H264" s="6">
        <v>17775586</v>
      </c>
      <c r="I264" s="6">
        <f t="shared" si="12"/>
        <v>0</v>
      </c>
      <c r="J264" s="6">
        <v>17096340</v>
      </c>
      <c r="K264" s="6">
        <v>17096340</v>
      </c>
      <c r="L264" s="6">
        <f t="shared" si="13"/>
        <v>0</v>
      </c>
    </row>
    <row r="265" spans="1:23">
      <c r="A265" s="5" t="s">
        <v>752</v>
      </c>
      <c r="B265" s="5" t="s">
        <v>857</v>
      </c>
      <c r="C265" s="5" t="s">
        <v>858</v>
      </c>
      <c r="D265" s="5" t="s">
        <v>860</v>
      </c>
      <c r="G265" s="6">
        <v>100000</v>
      </c>
      <c r="H265" s="6">
        <v>100000</v>
      </c>
      <c r="I265" s="6">
        <f t="shared" si="12"/>
        <v>0</v>
      </c>
      <c r="J265" s="6">
        <v>100000</v>
      </c>
      <c r="K265" s="6">
        <v>100000</v>
      </c>
      <c r="L265" s="6">
        <f t="shared" si="13"/>
        <v>0</v>
      </c>
    </row>
    <row r="266" spans="1:23">
      <c r="A266" s="5" t="s">
        <v>752</v>
      </c>
      <c r="B266" s="5" t="s">
        <v>861</v>
      </c>
      <c r="C266" s="5" t="s">
        <v>862</v>
      </c>
      <c r="D266" s="5" t="s">
        <v>863</v>
      </c>
      <c r="G266" s="6">
        <v>10167662</v>
      </c>
      <c r="H266" s="6">
        <v>10167662</v>
      </c>
      <c r="I266" s="6">
        <f t="shared" si="12"/>
        <v>0</v>
      </c>
      <c r="J266" s="6">
        <v>10199696</v>
      </c>
      <c r="K266" s="6">
        <v>10163224</v>
      </c>
      <c r="L266" s="6">
        <f t="shared" si="13"/>
        <v>-36472</v>
      </c>
      <c r="M266" s="4" t="s">
        <v>129</v>
      </c>
      <c r="W266" s="6">
        <f>I266+L266</f>
        <v>-36472</v>
      </c>
    </row>
    <row r="267" spans="1:23">
      <c r="A267" s="5" t="s">
        <v>752</v>
      </c>
      <c r="B267" s="5" t="s">
        <v>864</v>
      </c>
      <c r="C267" s="5" t="s">
        <v>865</v>
      </c>
      <c r="D267" s="5" t="s">
        <v>867</v>
      </c>
      <c r="G267" s="6">
        <v>5002837</v>
      </c>
      <c r="H267" s="6">
        <v>4885375</v>
      </c>
      <c r="I267" s="6">
        <f t="shared" si="12"/>
        <v>-117462</v>
      </c>
      <c r="J267" s="6">
        <v>5045917</v>
      </c>
      <c r="K267" s="6">
        <v>4945981</v>
      </c>
      <c r="L267" s="6">
        <f t="shared" si="13"/>
        <v>-99936</v>
      </c>
      <c r="M267" t="s">
        <v>129</v>
      </c>
      <c r="R267" s="6">
        <f>I267+L267</f>
        <v>-217398</v>
      </c>
      <c r="W267" s="6"/>
    </row>
    <row r="268" spans="1:23">
      <c r="A268" s="5" t="s">
        <v>752</v>
      </c>
      <c r="B268" s="5" t="s">
        <v>866</v>
      </c>
      <c r="C268" s="5" t="s">
        <v>868</v>
      </c>
      <c r="D268" s="5" t="s">
        <v>869</v>
      </c>
      <c r="G268" s="6">
        <v>7323742</v>
      </c>
      <c r="H268" s="6">
        <v>7323742</v>
      </c>
      <c r="I268" s="6">
        <f t="shared" si="12"/>
        <v>0</v>
      </c>
      <c r="J268" s="6">
        <v>7865955</v>
      </c>
      <c r="K268" s="6">
        <v>7865955</v>
      </c>
      <c r="L268" s="6">
        <f t="shared" si="13"/>
        <v>0</v>
      </c>
    </row>
    <row r="269" spans="1:23">
      <c r="A269" s="5" t="s">
        <v>752</v>
      </c>
      <c r="B269" s="5" t="s">
        <v>870</v>
      </c>
      <c r="C269" s="5" t="s">
        <v>871</v>
      </c>
      <c r="D269" s="5" t="s">
        <v>872</v>
      </c>
      <c r="G269" s="6">
        <v>8116332</v>
      </c>
      <c r="H269" s="6">
        <v>8104347</v>
      </c>
      <c r="I269" s="6">
        <f t="shared" si="12"/>
        <v>-11985</v>
      </c>
      <c r="J269" s="6">
        <v>8123516</v>
      </c>
      <c r="K269" s="6">
        <v>8123516</v>
      </c>
      <c r="L269" s="6">
        <f t="shared" si="13"/>
        <v>0</v>
      </c>
      <c r="M269" t="s">
        <v>129</v>
      </c>
      <c r="R269" s="6">
        <f>I269+L269</f>
        <v>-11985</v>
      </c>
    </row>
    <row r="270" spans="1:23">
      <c r="A270" s="5" t="s">
        <v>752</v>
      </c>
      <c r="B270" s="5" t="s">
        <v>873</v>
      </c>
      <c r="C270" s="5" t="s">
        <v>874</v>
      </c>
      <c r="D270" s="5" t="s">
        <v>875</v>
      </c>
      <c r="G270" s="6">
        <v>10085088</v>
      </c>
      <c r="H270" s="6">
        <v>10085088</v>
      </c>
      <c r="I270" s="6">
        <f t="shared" si="12"/>
        <v>0</v>
      </c>
      <c r="J270" s="6">
        <v>10340655</v>
      </c>
      <c r="K270" s="6">
        <v>10340655</v>
      </c>
      <c r="L270" s="6">
        <f t="shared" si="13"/>
        <v>0</v>
      </c>
    </row>
    <row r="271" spans="1:23">
      <c r="A271" s="5" t="s">
        <v>752</v>
      </c>
      <c r="B271" s="5" t="s">
        <v>876</v>
      </c>
      <c r="C271" s="5" t="s">
        <v>877</v>
      </c>
      <c r="D271" s="5" t="s">
        <v>878</v>
      </c>
      <c r="G271" s="6">
        <v>3797544</v>
      </c>
      <c r="H271" s="6">
        <v>3787246</v>
      </c>
      <c r="I271" s="6">
        <f t="shared" si="12"/>
        <v>-10298</v>
      </c>
      <c r="J271" s="6">
        <v>3796531</v>
      </c>
      <c r="K271" s="6">
        <v>3775181</v>
      </c>
      <c r="L271" s="6">
        <f t="shared" si="13"/>
        <v>-21350</v>
      </c>
      <c r="M271" t="s">
        <v>129</v>
      </c>
      <c r="R271" s="6">
        <f>I271+L271</f>
        <v>-31648</v>
      </c>
    </row>
    <row r="272" spans="1:23">
      <c r="A272" s="5" t="s">
        <v>752</v>
      </c>
      <c r="B272" s="5" t="s">
        <v>879</v>
      </c>
      <c r="C272" s="5" t="s">
        <v>880</v>
      </c>
      <c r="D272" s="5" t="s">
        <v>881</v>
      </c>
      <c r="G272" s="6">
        <v>1011763</v>
      </c>
      <c r="H272" s="6">
        <v>1011763</v>
      </c>
      <c r="I272" s="6">
        <f t="shared" si="12"/>
        <v>0</v>
      </c>
      <c r="J272" s="6">
        <v>1017474</v>
      </c>
      <c r="K272" s="6">
        <v>1017474</v>
      </c>
      <c r="L272" s="6">
        <f t="shared" si="13"/>
        <v>0</v>
      </c>
      <c r="N272" s="5" t="s">
        <v>1082</v>
      </c>
    </row>
    <row r="273" spans="1:23">
      <c r="A273" s="5" t="s">
        <v>752</v>
      </c>
      <c r="B273" s="5" t="s">
        <v>882</v>
      </c>
      <c r="C273" s="5" t="s">
        <v>883</v>
      </c>
      <c r="D273" s="5" t="s">
        <v>884</v>
      </c>
      <c r="G273" s="6">
        <v>3704887</v>
      </c>
      <c r="H273" s="6">
        <v>3704887</v>
      </c>
      <c r="I273" s="6">
        <f t="shared" si="12"/>
        <v>0</v>
      </c>
      <c r="J273" s="6">
        <v>4803900</v>
      </c>
      <c r="K273" s="6">
        <v>4803900</v>
      </c>
      <c r="L273" s="6">
        <f t="shared" si="13"/>
        <v>0</v>
      </c>
    </row>
    <row r="274" spans="1:23">
      <c r="A274" s="5" t="s">
        <v>752</v>
      </c>
      <c r="B274" s="5" t="s">
        <v>886</v>
      </c>
      <c r="C274" s="5" t="s">
        <v>887</v>
      </c>
      <c r="D274" s="5" t="s">
        <v>888</v>
      </c>
      <c r="G274" s="6">
        <v>3558638</v>
      </c>
      <c r="H274" s="6">
        <v>3439399</v>
      </c>
      <c r="I274" s="6">
        <f t="shared" si="12"/>
        <v>-119239</v>
      </c>
      <c r="J274" s="6">
        <v>3584486</v>
      </c>
      <c r="K274" s="6">
        <v>3500167</v>
      </c>
      <c r="L274" s="6">
        <f t="shared" si="13"/>
        <v>-84319</v>
      </c>
      <c r="M274" t="s">
        <v>129</v>
      </c>
      <c r="R274" s="6">
        <f>I274+L274</f>
        <v>-203558</v>
      </c>
    </row>
    <row r="275" spans="1:23">
      <c r="A275" s="5" t="s">
        <v>752</v>
      </c>
      <c r="B275" s="5" t="s">
        <v>889</v>
      </c>
      <c r="C275" s="5" t="s">
        <v>890</v>
      </c>
      <c r="D275" s="5" t="s">
        <v>891</v>
      </c>
      <c r="G275" s="6">
        <v>0</v>
      </c>
      <c r="H275" s="6">
        <v>0</v>
      </c>
      <c r="I275" s="6">
        <f t="shared" si="12"/>
        <v>0</v>
      </c>
      <c r="J275" s="6">
        <v>0</v>
      </c>
      <c r="K275" s="6">
        <v>0</v>
      </c>
      <c r="L275" s="6">
        <f t="shared" si="13"/>
        <v>0</v>
      </c>
    </row>
    <row r="276" spans="1:23">
      <c r="A276" s="5" t="s">
        <v>752</v>
      </c>
      <c r="B276" s="5" t="s">
        <v>892</v>
      </c>
      <c r="C276" s="5" t="s">
        <v>894</v>
      </c>
      <c r="D276" s="5" t="s">
        <v>893</v>
      </c>
      <c r="G276" s="6">
        <v>1407602</v>
      </c>
      <c r="H276" s="6">
        <v>1406900</v>
      </c>
      <c r="I276" s="6">
        <f t="shared" si="12"/>
        <v>-702</v>
      </c>
      <c r="J276" s="6">
        <v>1058209</v>
      </c>
      <c r="K276" s="6">
        <v>1048232</v>
      </c>
      <c r="L276" s="6">
        <f t="shared" si="13"/>
        <v>-9977</v>
      </c>
      <c r="M276" s="4" t="s">
        <v>129</v>
      </c>
      <c r="N276" s="5" t="s">
        <v>1082</v>
      </c>
      <c r="R276" s="6"/>
      <c r="W276" s="6">
        <f>I276+L276</f>
        <v>-10679</v>
      </c>
    </row>
    <row r="277" spans="1:23">
      <c r="A277" s="5" t="s">
        <v>752</v>
      </c>
      <c r="B277" s="5" t="s">
        <v>895</v>
      </c>
      <c r="C277" s="5" t="s">
        <v>896</v>
      </c>
      <c r="D277" s="5" t="s">
        <v>897</v>
      </c>
      <c r="G277" s="6">
        <v>33537326</v>
      </c>
      <c r="H277" s="6">
        <f>G277-1974682+1941237</f>
        <v>33503881</v>
      </c>
      <c r="I277" s="6">
        <f t="shared" si="12"/>
        <v>-33445</v>
      </c>
      <c r="J277" s="6">
        <v>33006040</v>
      </c>
      <c r="K277" s="6">
        <f>J277-2007862+1984096</f>
        <v>32982274</v>
      </c>
      <c r="L277" s="6">
        <f t="shared" si="13"/>
        <v>-23766</v>
      </c>
      <c r="M277" t="s">
        <v>1565</v>
      </c>
      <c r="R277" s="6">
        <f>I277+L277</f>
        <v>-57211</v>
      </c>
    </row>
    <row r="278" spans="1:23">
      <c r="A278" s="5" t="s">
        <v>752</v>
      </c>
      <c r="B278" s="5" t="s">
        <v>898</v>
      </c>
      <c r="C278" s="5" t="s">
        <v>899</v>
      </c>
      <c r="D278" s="5" t="s">
        <v>900</v>
      </c>
      <c r="G278" s="6">
        <v>14197939</v>
      </c>
      <c r="H278" s="6">
        <v>14197939</v>
      </c>
      <c r="I278" s="6">
        <f t="shared" si="12"/>
        <v>0</v>
      </c>
      <c r="J278" s="6">
        <v>14459528</v>
      </c>
      <c r="K278" s="6">
        <v>14459528</v>
      </c>
      <c r="L278" s="6">
        <f t="shared" si="13"/>
        <v>0</v>
      </c>
    </row>
    <row r="279" spans="1:23">
      <c r="A279" s="5" t="s">
        <v>752</v>
      </c>
      <c r="B279" s="5" t="s">
        <v>901</v>
      </c>
      <c r="C279" s="5" t="s">
        <v>902</v>
      </c>
      <c r="D279" s="5" t="s">
        <v>903</v>
      </c>
      <c r="G279" s="6">
        <v>34117226</v>
      </c>
      <c r="H279" s="6">
        <v>34117226</v>
      </c>
      <c r="I279" s="6">
        <f t="shared" si="12"/>
        <v>0</v>
      </c>
      <c r="J279" s="6">
        <v>34990869</v>
      </c>
      <c r="K279" s="6">
        <v>34990869</v>
      </c>
      <c r="L279" s="6">
        <f t="shared" si="13"/>
        <v>0</v>
      </c>
      <c r="P279" s="6"/>
    </row>
    <row r="280" spans="1:23">
      <c r="A280" s="5" t="s">
        <v>752</v>
      </c>
      <c r="B280" s="5" t="s">
        <v>904</v>
      </c>
      <c r="C280" s="5" t="s">
        <v>905</v>
      </c>
      <c r="D280" s="5" t="s">
        <v>906</v>
      </c>
      <c r="G280" s="6">
        <v>93841738</v>
      </c>
      <c r="H280" s="6">
        <v>93841738</v>
      </c>
      <c r="I280" s="6">
        <f t="shared" si="12"/>
        <v>0</v>
      </c>
      <c r="J280" s="6">
        <v>97010807</v>
      </c>
      <c r="K280" s="6">
        <v>97010807</v>
      </c>
      <c r="L280" s="6">
        <f t="shared" si="13"/>
        <v>0</v>
      </c>
      <c r="N280" s="5" t="s">
        <v>1405</v>
      </c>
    </row>
    <row r="281" spans="1:23">
      <c r="A281" s="5" t="s">
        <v>752</v>
      </c>
      <c r="B281" s="5" t="s">
        <v>907</v>
      </c>
      <c r="C281" s="5" t="s">
        <v>908</v>
      </c>
      <c r="D281" s="5" t="s">
        <v>909</v>
      </c>
      <c r="G281" s="6">
        <v>11245072</v>
      </c>
      <c r="H281" s="6">
        <v>11245072</v>
      </c>
      <c r="I281" s="6">
        <f t="shared" si="12"/>
        <v>0</v>
      </c>
      <c r="J281" s="6">
        <v>11175323</v>
      </c>
      <c r="K281" s="6">
        <v>11175323</v>
      </c>
      <c r="L281" s="6">
        <f t="shared" si="13"/>
        <v>0</v>
      </c>
    </row>
    <row r="282" spans="1:23">
      <c r="A282" s="5" t="s">
        <v>752</v>
      </c>
      <c r="B282" s="5" t="s">
        <v>910</v>
      </c>
      <c r="C282" s="5" t="s">
        <v>911</v>
      </c>
      <c r="D282" s="5" t="s">
        <v>912</v>
      </c>
      <c r="G282" s="6">
        <v>46813650</v>
      </c>
      <c r="H282" s="6">
        <v>46813650</v>
      </c>
      <c r="I282" s="6">
        <f t="shared" si="12"/>
        <v>0</v>
      </c>
      <c r="J282" s="6">
        <v>44855436</v>
      </c>
      <c r="K282" s="6">
        <v>44855436</v>
      </c>
      <c r="L282" s="6">
        <f t="shared" si="13"/>
        <v>0</v>
      </c>
    </row>
    <row r="283" spans="1:23">
      <c r="A283" s="5" t="s">
        <v>752</v>
      </c>
      <c r="B283" s="5" t="s">
        <v>913</v>
      </c>
      <c r="C283" s="5" t="s">
        <v>914</v>
      </c>
      <c r="D283" s="5" t="s">
        <v>915</v>
      </c>
      <c r="G283" s="6">
        <v>54264606</v>
      </c>
      <c r="H283" s="6">
        <v>53674641</v>
      </c>
      <c r="I283" s="6">
        <f t="shared" si="12"/>
        <v>-589965</v>
      </c>
      <c r="J283" s="6">
        <v>54929026</v>
      </c>
      <c r="K283" s="6">
        <v>54057035</v>
      </c>
      <c r="L283" s="6">
        <f t="shared" si="13"/>
        <v>-871991</v>
      </c>
      <c r="M283" t="s">
        <v>129</v>
      </c>
      <c r="R283" s="6">
        <f>I283+L283</f>
        <v>-1461956</v>
      </c>
    </row>
    <row r="284" spans="1:23">
      <c r="A284" s="5" t="s">
        <v>752</v>
      </c>
      <c r="B284" s="5" t="s">
        <v>916</v>
      </c>
      <c r="C284" s="5" t="s">
        <v>917</v>
      </c>
      <c r="D284" s="5" t="s">
        <v>918</v>
      </c>
      <c r="E284" s="6">
        <v>7887442</v>
      </c>
      <c r="F284" s="6">
        <v>8189643</v>
      </c>
      <c r="G284" s="6">
        <v>9868567</v>
      </c>
      <c r="H284" s="6">
        <f>F284*1.12</f>
        <v>9172400.1600000001</v>
      </c>
      <c r="I284" s="6">
        <f t="shared" si="12"/>
        <v>-696166.83999999985</v>
      </c>
      <c r="J284" s="6">
        <v>10308148</v>
      </c>
      <c r="K284" s="6">
        <f>H284*1.02</f>
        <v>9355848.1632000003</v>
      </c>
      <c r="L284" s="6">
        <f t="shared" si="13"/>
        <v>-952299.8367999997</v>
      </c>
      <c r="M284" t="s">
        <v>1566</v>
      </c>
      <c r="P284" s="6">
        <f>I284+L284</f>
        <v>-1648466.6767999995</v>
      </c>
    </row>
    <row r="285" spans="1:23">
      <c r="A285" s="5" t="s">
        <v>752</v>
      </c>
      <c r="B285" s="5" t="s">
        <v>919</v>
      </c>
      <c r="C285" s="5" t="s">
        <v>920</v>
      </c>
      <c r="D285" s="5" t="s">
        <v>921</v>
      </c>
      <c r="G285" s="6">
        <v>112921244</v>
      </c>
      <c r="H285" s="6">
        <f>G285-34479276+(26791153*1.12)</f>
        <v>108448059.36</v>
      </c>
      <c r="I285" s="6">
        <f t="shared" si="12"/>
        <v>-4473184.6400000006</v>
      </c>
      <c r="J285" s="6">
        <v>119203782</v>
      </c>
      <c r="K285" s="6">
        <f>J285-36484816+(26791153*1.12*1.02)</f>
        <v>113325179.18720001</v>
      </c>
      <c r="L285" s="6">
        <f t="shared" si="13"/>
        <v>-5878602.8127999902</v>
      </c>
      <c r="M285" t="s">
        <v>1567</v>
      </c>
      <c r="N285" s="5" t="s">
        <v>1083</v>
      </c>
      <c r="P285" s="6">
        <f>I285+L285</f>
        <v>-10351787.452799991</v>
      </c>
    </row>
    <row r="286" spans="1:23">
      <c r="A286" s="5" t="s">
        <v>752</v>
      </c>
      <c r="B286" s="5" t="s">
        <v>922</v>
      </c>
      <c r="C286" s="5" t="s">
        <v>923</v>
      </c>
      <c r="D286" s="5" t="s">
        <v>924</v>
      </c>
      <c r="G286" s="6">
        <v>17987064</v>
      </c>
      <c r="H286" s="6">
        <v>17839045</v>
      </c>
      <c r="I286" s="6">
        <f t="shared" si="12"/>
        <v>-148019</v>
      </c>
      <c r="J286" s="6">
        <v>18095547</v>
      </c>
      <c r="K286" s="6">
        <v>18095547</v>
      </c>
      <c r="L286" s="6">
        <f t="shared" si="13"/>
        <v>0</v>
      </c>
      <c r="M286" s="4" t="s">
        <v>129</v>
      </c>
      <c r="W286" s="6">
        <f>I286+L286</f>
        <v>-148019</v>
      </c>
    </row>
    <row r="287" spans="1:23">
      <c r="A287" s="5" t="s">
        <v>752</v>
      </c>
      <c r="B287" s="5" t="s">
        <v>925</v>
      </c>
      <c r="C287" s="5" t="s">
        <v>926</v>
      </c>
      <c r="D287" s="5" t="s">
        <v>927</v>
      </c>
      <c r="G287" s="6">
        <v>25925350</v>
      </c>
      <c r="H287" s="6">
        <v>25925350</v>
      </c>
      <c r="I287" s="6">
        <f t="shared" si="12"/>
        <v>0</v>
      </c>
      <c r="J287" s="6">
        <v>27247823</v>
      </c>
      <c r="K287" s="6">
        <v>27247823</v>
      </c>
      <c r="L287" s="6">
        <f t="shared" si="13"/>
        <v>0</v>
      </c>
    </row>
    <row r="288" spans="1:23">
      <c r="A288" s="5" t="s">
        <v>752</v>
      </c>
      <c r="B288" s="5" t="s">
        <v>928</v>
      </c>
      <c r="C288" s="5" t="s">
        <v>929</v>
      </c>
      <c r="D288" s="5" t="s">
        <v>930</v>
      </c>
      <c r="G288" s="6">
        <v>37995287</v>
      </c>
      <c r="H288" s="6">
        <v>37995287</v>
      </c>
      <c r="I288" s="6">
        <f t="shared" si="12"/>
        <v>0</v>
      </c>
      <c r="J288" s="6">
        <v>39043043</v>
      </c>
      <c r="K288" s="6">
        <v>39043043</v>
      </c>
      <c r="L288" s="6">
        <f t="shared" si="13"/>
        <v>0</v>
      </c>
    </row>
    <row r="289" spans="1:25">
      <c r="A289" s="5" t="s">
        <v>752</v>
      </c>
      <c r="B289" s="5" t="s">
        <v>931</v>
      </c>
      <c r="C289" s="5" t="s">
        <v>932</v>
      </c>
      <c r="D289" s="5" t="s">
        <v>933</v>
      </c>
      <c r="G289" s="6">
        <v>23636558</v>
      </c>
      <c r="H289" s="6">
        <v>0</v>
      </c>
      <c r="I289" s="6">
        <f t="shared" si="12"/>
        <v>-23636558</v>
      </c>
      <c r="J289" s="6">
        <v>24547215</v>
      </c>
      <c r="K289" s="6">
        <v>0</v>
      </c>
      <c r="L289" s="6">
        <f>K289-J289</f>
        <v>-24547215</v>
      </c>
      <c r="M289" s="4" t="s">
        <v>509</v>
      </c>
      <c r="N289" s="24" t="s">
        <v>1568</v>
      </c>
      <c r="S289" s="6"/>
      <c r="T289" s="6"/>
      <c r="X289" s="6">
        <v>-23159569</v>
      </c>
      <c r="Y289" s="6">
        <f>I289+L289-X289</f>
        <v>-25024204</v>
      </c>
    </row>
    <row r="290" spans="1:25">
      <c r="A290" s="5" t="s">
        <v>752</v>
      </c>
      <c r="B290" s="5" t="s">
        <v>934</v>
      </c>
      <c r="C290" s="5" t="s">
        <v>935</v>
      </c>
      <c r="D290" s="5" t="s">
        <v>936</v>
      </c>
      <c r="G290" s="6">
        <v>19611673</v>
      </c>
      <c r="H290" s="6">
        <v>19602294</v>
      </c>
      <c r="I290" s="6">
        <f t="shared" si="12"/>
        <v>-9379</v>
      </c>
      <c r="J290" s="6">
        <v>19699274</v>
      </c>
      <c r="K290" s="6">
        <v>19699274</v>
      </c>
      <c r="L290" s="6">
        <f t="shared" si="13"/>
        <v>0</v>
      </c>
      <c r="M290" t="s">
        <v>129</v>
      </c>
      <c r="R290" s="6">
        <f>I290+L290</f>
        <v>-9379</v>
      </c>
    </row>
    <row r="291" spans="1:25">
      <c r="A291" s="5" t="s">
        <v>752</v>
      </c>
      <c r="B291" s="5" t="s">
        <v>937</v>
      </c>
      <c r="C291" s="5" t="s">
        <v>938</v>
      </c>
      <c r="D291" s="5" t="s">
        <v>939</v>
      </c>
      <c r="G291" s="6">
        <v>3297177</v>
      </c>
      <c r="H291" s="6">
        <v>3297177</v>
      </c>
      <c r="I291" s="6">
        <f t="shared" si="12"/>
        <v>0</v>
      </c>
      <c r="J291" s="6">
        <v>3205742</v>
      </c>
      <c r="K291" s="6">
        <v>3205742</v>
      </c>
      <c r="L291" s="6">
        <f t="shared" si="13"/>
        <v>0</v>
      </c>
    </row>
    <row r="292" spans="1:25">
      <c r="A292" s="5" t="s">
        <v>752</v>
      </c>
      <c r="B292" s="5" t="s">
        <v>940</v>
      </c>
      <c r="C292" s="5" t="s">
        <v>941</v>
      </c>
      <c r="D292" s="5" t="s">
        <v>943</v>
      </c>
      <c r="G292" s="6">
        <v>6094218</v>
      </c>
      <c r="H292" s="6">
        <v>6094218</v>
      </c>
      <c r="I292" s="6">
        <f t="shared" si="12"/>
        <v>0</v>
      </c>
      <c r="J292" s="6">
        <v>6238479</v>
      </c>
      <c r="K292" s="6">
        <v>6238479</v>
      </c>
      <c r="L292" s="6">
        <f t="shared" si="13"/>
        <v>0</v>
      </c>
    </row>
    <row r="293" spans="1:25">
      <c r="A293" s="5" t="s">
        <v>752</v>
      </c>
      <c r="B293" s="5" t="s">
        <v>942</v>
      </c>
      <c r="C293" s="5" t="s">
        <v>944</v>
      </c>
      <c r="D293" s="5" t="s">
        <v>945</v>
      </c>
      <c r="G293" s="6">
        <v>31509305</v>
      </c>
      <c r="H293" s="6">
        <f>G293-1402036</f>
        <v>30107269</v>
      </c>
      <c r="I293" s="6">
        <f t="shared" si="12"/>
        <v>-1402036</v>
      </c>
      <c r="J293" s="6">
        <v>33667177</v>
      </c>
      <c r="K293" s="6">
        <f>J293-1437843</f>
        <v>32229334</v>
      </c>
      <c r="L293" s="6">
        <f t="shared" si="13"/>
        <v>-1437843</v>
      </c>
      <c r="M293" t="s">
        <v>1084</v>
      </c>
      <c r="R293" s="6">
        <f>I293+L293</f>
        <v>-2839879</v>
      </c>
    </row>
    <row r="294" spans="1:25">
      <c r="A294" s="5" t="s">
        <v>752</v>
      </c>
      <c r="B294" s="5" t="s">
        <v>946</v>
      </c>
      <c r="C294" s="5" t="s">
        <v>947</v>
      </c>
      <c r="D294" s="5" t="s">
        <v>948</v>
      </c>
      <c r="G294" s="6">
        <v>94928074</v>
      </c>
      <c r="H294" s="6">
        <f>G294-3499805</f>
        <v>91428269</v>
      </c>
      <c r="I294" s="6">
        <f t="shared" si="12"/>
        <v>-3499805</v>
      </c>
      <c r="J294" s="6">
        <v>99083886</v>
      </c>
      <c r="K294" s="6">
        <f>J294-3462097</f>
        <v>95621789</v>
      </c>
      <c r="L294" s="6">
        <f t="shared" si="13"/>
        <v>-3462097</v>
      </c>
      <c r="M294" t="s">
        <v>1084</v>
      </c>
      <c r="R294" s="6">
        <f>I294+L294</f>
        <v>-6961902</v>
      </c>
    </row>
    <row r="295" spans="1:25">
      <c r="A295" s="5" t="s">
        <v>752</v>
      </c>
      <c r="B295" s="5" t="s">
        <v>949</v>
      </c>
      <c r="C295" s="5" t="s">
        <v>950</v>
      </c>
      <c r="D295" s="5" t="s">
        <v>951</v>
      </c>
      <c r="G295" s="6">
        <v>20216476</v>
      </c>
      <c r="H295" s="6">
        <f>G295-7111275+(5723224*1.06)</f>
        <v>19171818.440000001</v>
      </c>
      <c r="I295" s="6">
        <f t="shared" si="12"/>
        <v>-1044657.5599999987</v>
      </c>
      <c r="J295" s="6">
        <v>21094406</v>
      </c>
      <c r="K295" s="6">
        <f>J295-7781449+(5723224*1.0812)</f>
        <v>19500906.788800001</v>
      </c>
      <c r="L295" s="6">
        <f t="shared" si="13"/>
        <v>-1593499.2111999989</v>
      </c>
      <c r="M295" t="s">
        <v>1506</v>
      </c>
      <c r="P295" s="6">
        <f>I295+L295</f>
        <v>-2638156.7711999975</v>
      </c>
    </row>
    <row r="296" spans="1:25">
      <c r="A296" s="5" t="s">
        <v>752</v>
      </c>
      <c r="B296" s="5" t="s">
        <v>952</v>
      </c>
      <c r="C296" s="5" t="s">
        <v>953</v>
      </c>
      <c r="D296" s="5" t="s">
        <v>954</v>
      </c>
      <c r="G296" s="6">
        <v>311614</v>
      </c>
      <c r="H296" s="6">
        <v>311614</v>
      </c>
      <c r="I296" s="6">
        <f t="shared" si="12"/>
        <v>0</v>
      </c>
      <c r="J296" s="6">
        <v>311614</v>
      </c>
      <c r="K296" s="6">
        <v>311614</v>
      </c>
      <c r="L296" s="6">
        <f t="shared" si="13"/>
        <v>0</v>
      </c>
    </row>
    <row r="297" spans="1:25">
      <c r="A297" s="5" t="s">
        <v>752</v>
      </c>
      <c r="B297" s="5" t="s">
        <v>955</v>
      </c>
      <c r="C297" s="5" t="s">
        <v>956</v>
      </c>
      <c r="D297" s="5" t="s">
        <v>957</v>
      </c>
      <c r="G297" s="6">
        <v>1964363</v>
      </c>
      <c r="H297" s="6">
        <v>1910368</v>
      </c>
      <c r="I297" s="6">
        <f t="shared" si="12"/>
        <v>-53995</v>
      </c>
      <c r="J297" s="6">
        <v>1771543</v>
      </c>
      <c r="K297" s="6">
        <v>1771543</v>
      </c>
      <c r="L297" s="6">
        <f t="shared" si="13"/>
        <v>0</v>
      </c>
      <c r="M297" s="4" t="s">
        <v>1085</v>
      </c>
      <c r="W297" s="6">
        <f>I297+L297</f>
        <v>-53995</v>
      </c>
    </row>
    <row r="298" spans="1:25">
      <c r="A298" s="5" t="s">
        <v>752</v>
      </c>
      <c r="B298" s="5" t="s">
        <v>958</v>
      </c>
      <c r="C298" s="5" t="s">
        <v>959</v>
      </c>
      <c r="D298" s="5" t="s">
        <v>960</v>
      </c>
      <c r="E298" s="6">
        <v>255665</v>
      </c>
      <c r="F298" s="6">
        <v>277740</v>
      </c>
      <c r="G298" s="6">
        <v>411058</v>
      </c>
      <c r="H298" s="6">
        <f>F298*1.06</f>
        <v>294404.40000000002</v>
      </c>
      <c r="I298" s="6">
        <f t="shared" si="12"/>
        <v>-116653.59999999998</v>
      </c>
      <c r="J298" s="6">
        <v>426982</v>
      </c>
      <c r="K298" s="6">
        <f>H298*1.02</f>
        <v>300292.48800000001</v>
      </c>
      <c r="L298" s="6">
        <f t="shared" si="13"/>
        <v>-126689.51199999999</v>
      </c>
      <c r="M298" s="4" t="s">
        <v>1505</v>
      </c>
      <c r="U298" s="6">
        <f>I298+L298</f>
        <v>-243343.11199999996</v>
      </c>
    </row>
    <row r="299" spans="1:25">
      <c r="A299" s="5" t="s">
        <v>752</v>
      </c>
      <c r="B299" s="5" t="s">
        <v>961</v>
      </c>
      <c r="C299" s="5" t="s">
        <v>962</v>
      </c>
      <c r="D299" s="5" t="s">
        <v>963</v>
      </c>
      <c r="G299" s="6">
        <v>3816193</v>
      </c>
      <c r="H299" s="6">
        <v>3816193</v>
      </c>
      <c r="I299" s="6">
        <f t="shared" si="12"/>
        <v>0</v>
      </c>
      <c r="J299" s="6">
        <v>3686949</v>
      </c>
      <c r="K299" s="6">
        <v>3686949</v>
      </c>
      <c r="L299" s="6">
        <f t="shared" si="13"/>
        <v>0</v>
      </c>
      <c r="N299" s="5" t="s">
        <v>1086</v>
      </c>
    </row>
    <row r="300" spans="1:25">
      <c r="A300" s="5" t="s">
        <v>752</v>
      </c>
      <c r="B300" s="5" t="s">
        <v>964</v>
      </c>
      <c r="C300" s="5" t="s">
        <v>965</v>
      </c>
      <c r="D300" s="5" t="s">
        <v>966</v>
      </c>
      <c r="G300" s="6">
        <v>4191465</v>
      </c>
      <c r="H300" s="6">
        <v>4191465</v>
      </c>
      <c r="I300" s="6">
        <f t="shared" si="12"/>
        <v>0</v>
      </c>
      <c r="J300" s="6">
        <v>4191465</v>
      </c>
      <c r="K300" s="6">
        <v>4191465</v>
      </c>
      <c r="L300" s="6">
        <f t="shared" si="13"/>
        <v>0</v>
      </c>
      <c r="N300" s="5" t="s">
        <v>1086</v>
      </c>
    </row>
    <row r="301" spans="1:25">
      <c r="A301" s="5" t="s">
        <v>752</v>
      </c>
      <c r="B301" s="5" t="s">
        <v>967</v>
      </c>
      <c r="C301" s="5" t="s">
        <v>968</v>
      </c>
      <c r="D301" s="5" t="s">
        <v>969</v>
      </c>
      <c r="G301" s="6">
        <v>5841599</v>
      </c>
      <c r="H301" s="6">
        <v>5841599</v>
      </c>
      <c r="I301" s="6">
        <f t="shared" si="12"/>
        <v>0</v>
      </c>
      <c r="J301" s="6">
        <v>5817557</v>
      </c>
      <c r="K301" s="6">
        <v>5817557</v>
      </c>
      <c r="L301" s="6">
        <f t="shared" si="13"/>
        <v>0</v>
      </c>
      <c r="N301" s="5" t="s">
        <v>1086</v>
      </c>
    </row>
    <row r="302" spans="1:25">
      <c r="A302" s="5" t="s">
        <v>752</v>
      </c>
      <c r="B302" s="5" t="s">
        <v>970</v>
      </c>
      <c r="C302" s="5" t="s">
        <v>971</v>
      </c>
      <c r="D302" s="5" t="s">
        <v>972</v>
      </c>
      <c r="G302" s="6">
        <v>8758418</v>
      </c>
      <c r="H302" s="6">
        <f>8225684*1.02</f>
        <v>8390197.6799999997</v>
      </c>
      <c r="I302" s="6">
        <f t="shared" si="12"/>
        <v>-368220.3200000003</v>
      </c>
      <c r="J302" s="6">
        <v>8705824</v>
      </c>
      <c r="K302" s="6">
        <f>H302*1.02</f>
        <v>8558001.6336000003</v>
      </c>
      <c r="L302" s="6">
        <f t="shared" si="13"/>
        <v>-147822.36639999971</v>
      </c>
      <c r="M302" t="s">
        <v>1449</v>
      </c>
      <c r="P302" s="6">
        <f>I302+L302</f>
        <v>-516042.68640000001</v>
      </c>
    </row>
    <row r="303" spans="1:25">
      <c r="A303" s="5" t="s">
        <v>752</v>
      </c>
      <c r="B303" s="5" t="s">
        <v>973</v>
      </c>
      <c r="C303" s="5" t="s">
        <v>974</v>
      </c>
      <c r="D303" s="5" t="s">
        <v>975</v>
      </c>
      <c r="G303" s="6">
        <v>7962527</v>
      </c>
      <c r="H303" s="6">
        <f>7246811*1.02</f>
        <v>7391747.2199999997</v>
      </c>
      <c r="I303" s="6">
        <f t="shared" si="12"/>
        <v>-570779.78000000026</v>
      </c>
      <c r="J303" s="6">
        <v>7965461</v>
      </c>
      <c r="K303" s="6">
        <f>H303*1.02</f>
        <v>7539582.1644000001</v>
      </c>
      <c r="L303" s="6">
        <f t="shared" si="13"/>
        <v>-425878.83559999987</v>
      </c>
      <c r="M303" t="s">
        <v>1449</v>
      </c>
      <c r="P303" s="6">
        <f>I303+L303</f>
        <v>-996658.61560000014</v>
      </c>
    </row>
    <row r="304" spans="1:25">
      <c r="A304" s="5" t="s">
        <v>752</v>
      </c>
      <c r="B304" s="5" t="s">
        <v>976</v>
      </c>
      <c r="C304" s="5" t="s">
        <v>977</v>
      </c>
      <c r="D304" s="5" t="s">
        <v>978</v>
      </c>
      <c r="E304" s="6">
        <v>5490544</v>
      </c>
      <c r="F304" s="6">
        <v>5506153</v>
      </c>
      <c r="G304" s="6">
        <v>5983753</v>
      </c>
      <c r="H304" s="6">
        <f>F304*1.06</f>
        <v>5836522.1800000006</v>
      </c>
      <c r="I304" s="6">
        <f t="shared" si="12"/>
        <v>-147230.81999999937</v>
      </c>
      <c r="J304" s="6">
        <v>5963613</v>
      </c>
      <c r="K304" s="6">
        <f>H304*1.02</f>
        <v>5953252.6236000005</v>
      </c>
      <c r="L304" s="6">
        <f t="shared" si="13"/>
        <v>-10360.376399999484</v>
      </c>
      <c r="M304" t="s">
        <v>1502</v>
      </c>
      <c r="P304" s="6">
        <f>I304+L304</f>
        <v>-157591.19639999885</v>
      </c>
    </row>
    <row r="305" spans="1:23">
      <c r="A305" s="5" t="s">
        <v>752</v>
      </c>
      <c r="B305" s="5" t="s">
        <v>979</v>
      </c>
      <c r="C305" s="5" t="s">
        <v>980</v>
      </c>
      <c r="D305" s="5" t="s">
        <v>981</v>
      </c>
      <c r="E305" s="6">
        <v>7404705</v>
      </c>
      <c r="F305" s="6">
        <v>7556879</v>
      </c>
      <c r="G305" s="6">
        <v>9146851</v>
      </c>
      <c r="H305" s="6">
        <f>F305*1.06</f>
        <v>8010291.7400000002</v>
      </c>
      <c r="I305" s="6">
        <f t="shared" si="12"/>
        <v>-1136559.2599999998</v>
      </c>
      <c r="J305" s="6">
        <v>9457400</v>
      </c>
      <c r="K305" s="6">
        <f>H305*1.02</f>
        <v>8170497.5748000005</v>
      </c>
      <c r="L305" s="6">
        <f t="shared" si="13"/>
        <v>-1286902.4251999995</v>
      </c>
      <c r="M305" t="s">
        <v>1502</v>
      </c>
      <c r="P305" s="6">
        <f>I305+L305</f>
        <v>-2423461.6851999993</v>
      </c>
    </row>
    <row r="306" spans="1:23">
      <c r="A306" s="5" t="s">
        <v>752</v>
      </c>
      <c r="B306" s="5" t="s">
        <v>982</v>
      </c>
      <c r="C306" s="5" t="s">
        <v>983</v>
      </c>
      <c r="D306" s="5" t="s">
        <v>984</v>
      </c>
      <c r="E306" s="6">
        <v>23984754</v>
      </c>
      <c r="F306" s="6">
        <v>24240227</v>
      </c>
      <c r="G306" s="6">
        <v>27532175</v>
      </c>
      <c r="H306" s="6">
        <f>F306*1.06</f>
        <v>25694640.620000001</v>
      </c>
      <c r="I306" s="6">
        <f t="shared" si="12"/>
        <v>-1837534.379999999</v>
      </c>
      <c r="J306" s="6">
        <v>27541544</v>
      </c>
      <c r="K306" s="6">
        <f>H306*1.02</f>
        <v>26208533.432400003</v>
      </c>
      <c r="L306" s="6">
        <f t="shared" si="13"/>
        <v>-1333010.5675999969</v>
      </c>
      <c r="M306" t="s">
        <v>1502</v>
      </c>
      <c r="P306" s="6">
        <f>I306+L306</f>
        <v>-3170544.9475999959</v>
      </c>
    </row>
    <row r="307" spans="1:23">
      <c r="A307" s="5" t="s">
        <v>985</v>
      </c>
      <c r="B307" s="5" t="s">
        <v>986</v>
      </c>
      <c r="C307" s="5" t="s">
        <v>987</v>
      </c>
      <c r="D307" s="5" t="s">
        <v>988</v>
      </c>
      <c r="G307" s="6">
        <v>1399645</v>
      </c>
      <c r="H307" s="6">
        <v>1399645</v>
      </c>
      <c r="I307" s="6">
        <f t="shared" si="12"/>
        <v>0</v>
      </c>
      <c r="J307" s="6">
        <v>1418921</v>
      </c>
      <c r="K307" s="6">
        <v>1418921</v>
      </c>
      <c r="L307" s="6">
        <f t="shared" si="13"/>
        <v>0</v>
      </c>
    </row>
    <row r="308" spans="1:23">
      <c r="A308" s="5" t="s">
        <v>985</v>
      </c>
      <c r="B308" s="5" t="s">
        <v>989</v>
      </c>
      <c r="C308" s="5" t="s">
        <v>990</v>
      </c>
      <c r="D308" s="5" t="s">
        <v>991</v>
      </c>
      <c r="G308" s="6">
        <v>18076059</v>
      </c>
      <c r="H308" s="6">
        <v>18076059</v>
      </c>
      <c r="I308" s="6">
        <f>H308-G308</f>
        <v>0</v>
      </c>
      <c r="J308" s="6">
        <v>18317374</v>
      </c>
      <c r="K308" s="6">
        <v>18317374</v>
      </c>
      <c r="L308" s="6">
        <f t="shared" si="13"/>
        <v>0</v>
      </c>
    </row>
    <row r="309" spans="1:23">
      <c r="A309" s="5" t="s">
        <v>985</v>
      </c>
      <c r="B309" s="5" t="s">
        <v>992</v>
      </c>
      <c r="C309" s="5" t="s">
        <v>993</v>
      </c>
      <c r="D309" s="5" t="s">
        <v>994</v>
      </c>
      <c r="E309" s="6">
        <v>16805944</v>
      </c>
      <c r="F309" s="6">
        <v>16716389</v>
      </c>
      <c r="G309" s="6">
        <v>17755195</v>
      </c>
      <c r="H309" s="6">
        <f>F309*1.06</f>
        <v>17719372.34</v>
      </c>
      <c r="I309" s="6">
        <f>H309-G309</f>
        <v>-35822.660000000149</v>
      </c>
      <c r="J309" s="6">
        <v>18011747</v>
      </c>
      <c r="K309" s="6">
        <v>18011747</v>
      </c>
      <c r="L309" s="6">
        <f t="shared" si="13"/>
        <v>0</v>
      </c>
      <c r="M309" t="s">
        <v>1488</v>
      </c>
      <c r="P309" s="6">
        <f>I309+L309</f>
        <v>-35822.660000000149</v>
      </c>
    </row>
    <row r="310" spans="1:23">
      <c r="A310" s="5" t="s">
        <v>985</v>
      </c>
      <c r="B310" s="5" t="s">
        <v>995</v>
      </c>
      <c r="C310" s="5" t="s">
        <v>996</v>
      </c>
      <c r="D310" s="5" t="s">
        <v>997</v>
      </c>
      <c r="G310" s="6">
        <v>4181725</v>
      </c>
      <c r="H310" s="6">
        <v>4181725</v>
      </c>
      <c r="I310" s="6">
        <f t="shared" si="12"/>
        <v>0</v>
      </c>
      <c r="J310" s="6">
        <v>4240391</v>
      </c>
      <c r="K310" s="6">
        <v>4240391</v>
      </c>
      <c r="L310" s="6">
        <f t="shared" si="13"/>
        <v>0</v>
      </c>
    </row>
    <row r="311" spans="1:23">
      <c r="A311" s="5" t="s">
        <v>985</v>
      </c>
      <c r="B311" s="5" t="s">
        <v>998</v>
      </c>
      <c r="C311" s="5" t="s">
        <v>999</v>
      </c>
      <c r="D311" s="5" t="s">
        <v>1000</v>
      </c>
      <c r="G311" s="6">
        <v>5622218</v>
      </c>
      <c r="H311" s="6">
        <v>5622218</v>
      </c>
      <c r="I311" s="6">
        <f t="shared" si="12"/>
        <v>0</v>
      </c>
      <c r="J311" s="6">
        <v>5568126</v>
      </c>
      <c r="K311" s="6">
        <f>J311-4115374+4009731</f>
        <v>5462483</v>
      </c>
      <c r="L311" s="6">
        <f t="shared" si="13"/>
        <v>-105643</v>
      </c>
      <c r="M311" s="4" t="s">
        <v>1569</v>
      </c>
      <c r="W311" s="6">
        <f>I311+L311</f>
        <v>-105643</v>
      </c>
    </row>
    <row r="312" spans="1:23">
      <c r="A312" s="5" t="s">
        <v>985</v>
      </c>
      <c r="B312" s="5" t="s">
        <v>1001</v>
      </c>
      <c r="C312" s="5" t="s">
        <v>1002</v>
      </c>
      <c r="D312" s="5" t="s">
        <v>1003</v>
      </c>
      <c r="G312" s="6">
        <v>88398825</v>
      </c>
      <c r="H312" s="6">
        <v>88398825</v>
      </c>
      <c r="I312" s="6">
        <f t="shared" si="12"/>
        <v>0</v>
      </c>
      <c r="J312" s="6">
        <v>86013854</v>
      </c>
      <c r="K312" s="6">
        <v>86013854</v>
      </c>
      <c r="L312" s="6">
        <f t="shared" si="13"/>
        <v>0</v>
      </c>
    </row>
    <row r="313" spans="1:23">
      <c r="A313" s="5" t="s">
        <v>985</v>
      </c>
      <c r="B313" s="5" t="s">
        <v>1004</v>
      </c>
      <c r="C313" s="5" t="s">
        <v>1005</v>
      </c>
      <c r="D313" s="5" t="s">
        <v>1006</v>
      </c>
      <c r="G313" s="6">
        <v>3063239</v>
      </c>
      <c r="H313" s="6">
        <v>3063239</v>
      </c>
      <c r="I313" s="6">
        <f t="shared" si="12"/>
        <v>0</v>
      </c>
      <c r="J313" s="6">
        <v>2648610</v>
      </c>
      <c r="K313" s="6">
        <f>J313-1010237+401954</f>
        <v>2040327</v>
      </c>
      <c r="L313" s="6">
        <f t="shared" si="13"/>
        <v>-608283</v>
      </c>
      <c r="M313" s="4" t="s">
        <v>1569</v>
      </c>
      <c r="W313" s="6">
        <f>I313+L313</f>
        <v>-608283</v>
      </c>
    </row>
    <row r="314" spans="1:23">
      <c r="A314" s="5" t="s">
        <v>985</v>
      </c>
      <c r="B314" s="5" t="s">
        <v>1007</v>
      </c>
      <c r="C314" s="5" t="s">
        <v>1008</v>
      </c>
      <c r="D314" s="5" t="s">
        <v>1009</v>
      </c>
      <c r="G314" s="6">
        <v>1539552</v>
      </c>
      <c r="H314" s="6">
        <f>G314-1097159+(704796*1.06)</f>
        <v>1189476.76</v>
      </c>
      <c r="I314" s="6">
        <f t="shared" si="12"/>
        <v>-350075.24</v>
      </c>
      <c r="J314" s="6">
        <v>1613216</v>
      </c>
      <c r="K314" s="6">
        <f>J314-1170448+(704796*1.06*1.02)</f>
        <v>1204793.4352000002</v>
      </c>
      <c r="L314" s="6">
        <f t="shared" si="13"/>
        <v>-408422.56479999982</v>
      </c>
      <c r="M314" t="s">
        <v>1506</v>
      </c>
      <c r="P314" s="6">
        <f>I314+L314</f>
        <v>-758497.80479999981</v>
      </c>
    </row>
    <row r="315" spans="1:23">
      <c r="A315" s="5" t="s">
        <v>985</v>
      </c>
      <c r="B315" s="5" t="s">
        <v>1010</v>
      </c>
      <c r="C315" s="5" t="s">
        <v>1011</v>
      </c>
      <c r="D315" s="5" t="s">
        <v>1012</v>
      </c>
      <c r="F315" s="6" t="s">
        <v>1401</v>
      </c>
      <c r="G315" s="6">
        <v>5783454</v>
      </c>
      <c r="H315" s="6">
        <v>5783454</v>
      </c>
      <c r="I315" s="6">
        <f t="shared" si="12"/>
        <v>0</v>
      </c>
      <c r="J315" s="6">
        <v>5651952</v>
      </c>
      <c r="K315" s="6">
        <v>5651952</v>
      </c>
      <c r="L315" s="6">
        <f t="shared" si="13"/>
        <v>0</v>
      </c>
      <c r="M315" s="5"/>
    </row>
    <row r="316" spans="1:23">
      <c r="A316" s="5" t="s">
        <v>985</v>
      </c>
      <c r="B316" s="5" t="s">
        <v>1013</v>
      </c>
      <c r="C316" s="5" t="s">
        <v>1015</v>
      </c>
      <c r="D316" s="5" t="s">
        <v>1014</v>
      </c>
      <c r="G316" s="6">
        <v>11772071</v>
      </c>
      <c r="H316" s="6">
        <v>11772071</v>
      </c>
      <c r="I316" s="6">
        <f t="shared" si="12"/>
        <v>0</v>
      </c>
      <c r="J316" s="6">
        <v>12103268</v>
      </c>
      <c r="K316" s="6">
        <v>12103268</v>
      </c>
      <c r="L316" s="6">
        <f t="shared" si="13"/>
        <v>0</v>
      </c>
      <c r="M316" s="5"/>
    </row>
    <row r="317" spans="1:23">
      <c r="A317" s="5" t="s">
        <v>985</v>
      </c>
      <c r="B317" s="5" t="s">
        <v>1016</v>
      </c>
      <c r="C317" s="5" t="s">
        <v>1017</v>
      </c>
      <c r="D317" s="5" t="s">
        <v>1018</v>
      </c>
      <c r="G317" s="6">
        <v>3145867</v>
      </c>
      <c r="H317" s="6">
        <v>3145867</v>
      </c>
      <c r="I317" s="6">
        <f t="shared" si="12"/>
        <v>0</v>
      </c>
      <c r="J317" s="6">
        <v>3171862</v>
      </c>
      <c r="K317" s="6">
        <v>3171862</v>
      </c>
      <c r="L317" s="6">
        <f t="shared" si="13"/>
        <v>0</v>
      </c>
      <c r="M317" s="5"/>
    </row>
    <row r="318" spans="1:23">
      <c r="A318" s="5" t="s">
        <v>985</v>
      </c>
      <c r="B318" s="5" t="s">
        <v>1019</v>
      </c>
      <c r="C318" s="5" t="s">
        <v>1020</v>
      </c>
      <c r="D318" s="5" t="s">
        <v>1021</v>
      </c>
      <c r="G318" s="6">
        <v>1190164</v>
      </c>
      <c r="H318" s="6">
        <v>0</v>
      </c>
      <c r="I318" s="6">
        <f t="shared" si="12"/>
        <v>-1190164</v>
      </c>
      <c r="J318" s="6">
        <v>1171427</v>
      </c>
      <c r="K318" s="6">
        <v>0</v>
      </c>
      <c r="L318" s="6">
        <f t="shared" si="13"/>
        <v>-1171427</v>
      </c>
      <c r="M318" s="5" t="s">
        <v>1604</v>
      </c>
      <c r="R318" s="6">
        <f>I318+L318</f>
        <v>-2361591</v>
      </c>
      <c r="S318" s="61"/>
      <c r="T318" s="61"/>
    </row>
    <row r="319" spans="1:23">
      <c r="A319" s="5" t="s">
        <v>1024</v>
      </c>
      <c r="B319" s="5" t="s">
        <v>1022</v>
      </c>
      <c r="C319" s="5" t="s">
        <v>1023</v>
      </c>
      <c r="D319" s="5" t="s">
        <v>1025</v>
      </c>
      <c r="G319" s="6">
        <v>2390338</v>
      </c>
      <c r="H319" s="6">
        <v>2390338</v>
      </c>
      <c r="I319" s="6">
        <f t="shared" si="12"/>
        <v>0</v>
      </c>
      <c r="J319" s="6">
        <v>2408628</v>
      </c>
      <c r="K319" s="6">
        <v>2408628</v>
      </c>
      <c r="L319" s="6">
        <f t="shared" si="13"/>
        <v>0</v>
      </c>
      <c r="M319" s="5"/>
    </row>
    <row r="320" spans="1:23">
      <c r="A320" s="5" t="s">
        <v>1026</v>
      </c>
      <c r="B320" s="5" t="s">
        <v>1027</v>
      </c>
      <c r="C320" s="5" t="s">
        <v>1028</v>
      </c>
      <c r="D320" s="5" t="s">
        <v>1029</v>
      </c>
      <c r="E320" s="6">
        <v>19931886</v>
      </c>
      <c r="F320" s="6">
        <v>19472314</v>
      </c>
      <c r="G320" s="6">
        <v>21767829</v>
      </c>
      <c r="H320" s="6">
        <f>F320*1.06</f>
        <v>20640652.84</v>
      </c>
      <c r="I320" s="6">
        <f t="shared" si="12"/>
        <v>-1127176.1600000001</v>
      </c>
      <c r="J320" s="6">
        <v>21686118</v>
      </c>
      <c r="K320" s="6">
        <f>H320*1.02</f>
        <v>21053465.8968</v>
      </c>
      <c r="L320" s="6">
        <f t="shared" si="13"/>
        <v>-632652.10319999978</v>
      </c>
      <c r="M320" s="5" t="s">
        <v>1502</v>
      </c>
      <c r="P320" s="6">
        <f>I320+L320</f>
        <v>-1759828.2631999999</v>
      </c>
    </row>
    <row r="321" spans="1:18">
      <c r="A321" s="5" t="s">
        <v>1026</v>
      </c>
      <c r="B321" s="5" t="s">
        <v>1030</v>
      </c>
      <c r="C321" s="5" t="s">
        <v>1031</v>
      </c>
      <c r="D321" s="5" t="s">
        <v>1032</v>
      </c>
      <c r="G321" s="6">
        <v>42534179</v>
      </c>
      <c r="H321" s="6">
        <v>42534179</v>
      </c>
      <c r="I321" s="6">
        <f t="shared" si="12"/>
        <v>0</v>
      </c>
      <c r="J321" s="6">
        <v>43075508</v>
      </c>
      <c r="K321" s="6">
        <v>43075508</v>
      </c>
      <c r="L321" s="6">
        <f t="shared" si="13"/>
        <v>0</v>
      </c>
    </row>
    <row r="322" spans="1:18">
      <c r="A322" s="5" t="s">
        <v>1026</v>
      </c>
      <c r="B322" s="5" t="s">
        <v>1033</v>
      </c>
      <c r="C322" s="5" t="s">
        <v>1034</v>
      </c>
      <c r="D322" s="5" t="s">
        <v>1035</v>
      </c>
      <c r="E322" s="6">
        <v>7431271</v>
      </c>
      <c r="F322" s="6">
        <v>7518473</v>
      </c>
      <c r="G322" s="6">
        <v>8103180</v>
      </c>
      <c r="H322" s="6">
        <v>7946796</v>
      </c>
      <c r="I322" s="6">
        <f t="shared" si="12"/>
        <v>-156384</v>
      </c>
      <c r="J322" s="6">
        <v>8352955</v>
      </c>
      <c r="K322" s="6">
        <v>7971188</v>
      </c>
      <c r="L322" s="6">
        <f t="shared" si="13"/>
        <v>-381767</v>
      </c>
      <c r="M322" t="s">
        <v>129</v>
      </c>
      <c r="R322" s="6">
        <f>I322+L322</f>
        <v>-538151</v>
      </c>
    </row>
    <row r="323" spans="1:18">
      <c r="A323" s="5" t="s">
        <v>1026</v>
      </c>
      <c r="B323" s="5" t="s">
        <v>1036</v>
      </c>
      <c r="C323" s="5" t="s">
        <v>1037</v>
      </c>
      <c r="D323" s="5" t="s">
        <v>1038</v>
      </c>
      <c r="E323" s="6">
        <v>25310107</v>
      </c>
      <c r="F323" s="6">
        <v>25175555</v>
      </c>
      <c r="G323" s="6">
        <v>26278431</v>
      </c>
      <c r="H323" s="6">
        <v>26278431</v>
      </c>
      <c r="I323" s="6">
        <f t="shared" si="12"/>
        <v>0</v>
      </c>
      <c r="J323" s="6">
        <v>26970651</v>
      </c>
      <c r="K323" s="6">
        <f>H323*1.02</f>
        <v>26803999.620000001</v>
      </c>
      <c r="L323" s="6">
        <f t="shared" si="13"/>
        <v>-166651.37999999896</v>
      </c>
      <c r="M323" t="s">
        <v>1457</v>
      </c>
      <c r="P323" s="6">
        <f>I323+L323</f>
        <v>-166651.37999999896</v>
      </c>
    </row>
    <row r="324" spans="1:18">
      <c r="A324" s="5" t="s">
        <v>1026</v>
      </c>
      <c r="B324" s="5" t="s">
        <v>1039</v>
      </c>
      <c r="C324" s="5" t="s">
        <v>1040</v>
      </c>
      <c r="D324" s="5" t="s">
        <v>1041</v>
      </c>
      <c r="E324" s="6">
        <v>44846655</v>
      </c>
      <c r="F324" s="6">
        <v>45283476</v>
      </c>
      <c r="G324" s="6">
        <v>47958973</v>
      </c>
      <c r="H324" s="6">
        <v>47958973</v>
      </c>
      <c r="I324" s="6">
        <f t="shared" si="12"/>
        <v>0</v>
      </c>
      <c r="J324" s="6">
        <v>49689629</v>
      </c>
      <c r="K324" s="6">
        <f>H324*1.02</f>
        <v>48918152.460000001</v>
      </c>
      <c r="L324" s="6">
        <f t="shared" si="13"/>
        <v>-771476.53999999911</v>
      </c>
      <c r="M324" t="s">
        <v>1457</v>
      </c>
      <c r="P324" s="6">
        <f>I324+L324</f>
        <v>-771476.53999999911</v>
      </c>
    </row>
    <row r="325" spans="1:18">
      <c r="A325" s="5" t="s">
        <v>1026</v>
      </c>
      <c r="B325" s="5" t="s">
        <v>1042</v>
      </c>
      <c r="C325" s="5" t="s">
        <v>1043</v>
      </c>
      <c r="D325" s="5" t="s">
        <v>1044</v>
      </c>
      <c r="E325" s="6">
        <v>25342001</v>
      </c>
      <c r="F325" s="6">
        <v>25562598</v>
      </c>
      <c r="G325" s="6">
        <v>27061291</v>
      </c>
      <c r="H325" s="6">
        <v>27061291</v>
      </c>
      <c r="I325" s="6">
        <f t="shared" si="12"/>
        <v>0</v>
      </c>
      <c r="J325" s="6">
        <v>28026599</v>
      </c>
      <c r="K325" s="6">
        <f>H325*1.02</f>
        <v>27602516.82</v>
      </c>
      <c r="L325" s="6">
        <f t="shared" si="13"/>
        <v>-424082.1799999997</v>
      </c>
      <c r="M325" t="s">
        <v>1457</v>
      </c>
      <c r="P325" s="6">
        <f>I325+L325</f>
        <v>-424082.1799999997</v>
      </c>
    </row>
    <row r="326" spans="1:18">
      <c r="A326" s="5" t="s">
        <v>1026</v>
      </c>
      <c r="B326" s="5" t="s">
        <v>1045</v>
      </c>
      <c r="C326" s="5" t="s">
        <v>1046</v>
      </c>
      <c r="D326" s="5" t="s">
        <v>1047</v>
      </c>
      <c r="G326" s="6">
        <v>96261</v>
      </c>
      <c r="H326" s="6">
        <v>82200</v>
      </c>
      <c r="I326" s="6">
        <f t="shared" ref="I326:I389" si="14">H326-G326</f>
        <v>-14061</v>
      </c>
      <c r="J326" s="6">
        <v>83369</v>
      </c>
      <c r="K326" s="6">
        <v>90261</v>
      </c>
      <c r="L326" s="6">
        <f t="shared" ref="L326:L389" si="15">K326-J326</f>
        <v>6892</v>
      </c>
      <c r="M326" t="s">
        <v>129</v>
      </c>
      <c r="R326" s="6">
        <f>I326+L326</f>
        <v>-7169</v>
      </c>
    </row>
    <row r="327" spans="1:18">
      <c r="A327" s="5" t="s">
        <v>1026</v>
      </c>
      <c r="B327" s="5" t="s">
        <v>1048</v>
      </c>
      <c r="C327" s="5" t="s">
        <v>1049</v>
      </c>
      <c r="D327" s="5" t="s">
        <v>1050</v>
      </c>
      <c r="E327" s="6">
        <v>21554642</v>
      </c>
      <c r="F327" s="6">
        <v>21733468</v>
      </c>
      <c r="G327" s="6">
        <v>23071345</v>
      </c>
      <c r="H327" s="6">
        <v>22978105</v>
      </c>
      <c r="I327" s="6">
        <f t="shared" si="14"/>
        <v>-93240</v>
      </c>
      <c r="J327" s="6">
        <v>23825926</v>
      </c>
      <c r="K327" s="6">
        <f>H327*1.02</f>
        <v>23437667.100000001</v>
      </c>
      <c r="L327" s="6">
        <f t="shared" si="15"/>
        <v>-388258.89999999851</v>
      </c>
      <c r="M327" t="s">
        <v>1570</v>
      </c>
      <c r="P327" s="6">
        <f>L327</f>
        <v>-388258.89999999851</v>
      </c>
      <c r="R327" s="6">
        <f>I327</f>
        <v>-93240</v>
      </c>
    </row>
    <row r="328" spans="1:18">
      <c r="A328" s="5" t="s">
        <v>1026</v>
      </c>
      <c r="B328" s="5" t="s">
        <v>1051</v>
      </c>
      <c r="C328" s="5" t="s">
        <v>1052</v>
      </c>
      <c r="D328" s="5" t="s">
        <v>1053</v>
      </c>
      <c r="E328" s="6">
        <v>22693862</v>
      </c>
      <c r="F328" s="6">
        <v>22835281</v>
      </c>
      <c r="G328" s="6">
        <v>23668466</v>
      </c>
      <c r="H328" s="6">
        <v>23311460</v>
      </c>
      <c r="I328" s="6">
        <f t="shared" si="14"/>
        <v>-357006</v>
      </c>
      <c r="J328" s="6">
        <v>24401632</v>
      </c>
      <c r="K328" s="6">
        <f>H328*1.02</f>
        <v>23777689.199999999</v>
      </c>
      <c r="L328" s="6">
        <f t="shared" si="15"/>
        <v>-623942.80000000075</v>
      </c>
      <c r="M328" t="s">
        <v>1446</v>
      </c>
      <c r="P328" s="6">
        <f>L328</f>
        <v>-623942.80000000075</v>
      </c>
      <c r="R328" s="6">
        <f>I328</f>
        <v>-357006</v>
      </c>
    </row>
    <row r="329" spans="1:18">
      <c r="A329" s="5" t="s">
        <v>1026</v>
      </c>
      <c r="B329" s="5" t="s">
        <v>1054</v>
      </c>
      <c r="C329" s="5" t="s">
        <v>1055</v>
      </c>
      <c r="D329" s="5" t="s">
        <v>1056</v>
      </c>
      <c r="G329" s="6">
        <v>252265</v>
      </c>
      <c r="H329" s="6">
        <v>241442</v>
      </c>
      <c r="I329" s="6">
        <f t="shared" si="14"/>
        <v>-10823</v>
      </c>
      <c r="J329" s="6">
        <v>247779</v>
      </c>
      <c r="K329" s="6">
        <v>241362</v>
      </c>
      <c r="L329" s="6">
        <f t="shared" si="15"/>
        <v>-6417</v>
      </c>
      <c r="M329" t="s">
        <v>129</v>
      </c>
      <c r="R329" s="6">
        <f>I329+L329</f>
        <v>-17240</v>
      </c>
    </row>
    <row r="330" spans="1:18">
      <c r="A330" s="5" t="s">
        <v>1026</v>
      </c>
      <c r="B330" s="5" t="s">
        <v>1057</v>
      </c>
      <c r="C330" s="5" t="s">
        <v>1058</v>
      </c>
      <c r="D330" s="5" t="s">
        <v>1059</v>
      </c>
      <c r="E330" s="6">
        <v>9436869</v>
      </c>
      <c r="F330" s="6">
        <v>9497035</v>
      </c>
      <c r="G330" s="6">
        <v>10614690</v>
      </c>
      <c r="H330" s="6">
        <f>F330*1.06</f>
        <v>10066857.1</v>
      </c>
      <c r="I330" s="6">
        <f t="shared" si="14"/>
        <v>-547832.90000000037</v>
      </c>
      <c r="J330" s="6">
        <v>10913425</v>
      </c>
      <c r="K330" s="6">
        <f>H330*1.02</f>
        <v>10268194.242000001</v>
      </c>
      <c r="L330" s="6">
        <f t="shared" si="15"/>
        <v>-645230.75799999945</v>
      </c>
      <c r="M330" t="s">
        <v>1502</v>
      </c>
      <c r="P330" s="6">
        <f>I330+L330</f>
        <v>-1193063.6579999998</v>
      </c>
    </row>
    <row r="331" spans="1:18">
      <c r="A331" s="5" t="s">
        <v>1026</v>
      </c>
      <c r="B331" s="5" t="s">
        <v>1060</v>
      </c>
      <c r="C331" s="5" t="s">
        <v>1061</v>
      </c>
      <c r="D331" s="5" t="s">
        <v>1062</v>
      </c>
      <c r="G331" s="6">
        <v>14620424</v>
      </c>
      <c r="H331" s="6">
        <v>14399437</v>
      </c>
      <c r="I331" s="6">
        <f t="shared" si="14"/>
        <v>-220987</v>
      </c>
      <c r="J331" s="6">
        <v>13470261</v>
      </c>
      <c r="K331" s="6">
        <v>13329123</v>
      </c>
      <c r="L331" s="6">
        <f t="shared" si="15"/>
        <v>-141138</v>
      </c>
      <c r="M331" t="s">
        <v>129</v>
      </c>
      <c r="R331" s="6">
        <f>I331+L331</f>
        <v>-362125</v>
      </c>
    </row>
    <row r="332" spans="1:18">
      <c r="A332" s="5" t="s">
        <v>1026</v>
      </c>
      <c r="B332" s="5" t="s">
        <v>1063</v>
      </c>
      <c r="C332" s="5" t="s">
        <v>1064</v>
      </c>
      <c r="D332" s="5" t="s">
        <v>1065</v>
      </c>
      <c r="E332" s="6">
        <v>3856174</v>
      </c>
      <c r="F332" s="6">
        <v>3907813</v>
      </c>
      <c r="G332" s="6">
        <v>4285998</v>
      </c>
      <c r="H332" s="6">
        <f>F332*1.06</f>
        <v>4142281.7800000003</v>
      </c>
      <c r="I332" s="6">
        <f t="shared" si="14"/>
        <v>-143716.21999999974</v>
      </c>
      <c r="J332" s="6">
        <v>4329749</v>
      </c>
      <c r="K332" s="6">
        <f>H332*1.02</f>
        <v>4225127.4155999999</v>
      </c>
      <c r="L332" s="6">
        <f t="shared" si="15"/>
        <v>-104621.58440000005</v>
      </c>
      <c r="M332" t="s">
        <v>1491</v>
      </c>
      <c r="P332" s="6">
        <f>I332+L332</f>
        <v>-248337.80439999979</v>
      </c>
    </row>
    <row r="333" spans="1:18">
      <c r="A333" s="5" t="s">
        <v>1026</v>
      </c>
      <c r="B333" s="5" t="s">
        <v>1066</v>
      </c>
      <c r="C333" s="5" t="s">
        <v>1067</v>
      </c>
      <c r="D333" s="5" t="s">
        <v>1068</v>
      </c>
      <c r="G333" s="6">
        <v>1161949</v>
      </c>
      <c r="H333" s="6">
        <v>1156578</v>
      </c>
      <c r="I333" s="6">
        <f t="shared" si="14"/>
        <v>-5371</v>
      </c>
      <c r="J333" s="6">
        <v>1177603</v>
      </c>
      <c r="K333" s="6">
        <v>1171901</v>
      </c>
      <c r="L333" s="6">
        <f t="shared" si="15"/>
        <v>-5702</v>
      </c>
      <c r="M333" t="s">
        <v>129</v>
      </c>
      <c r="R333" s="6">
        <f>I333+L333</f>
        <v>-11073</v>
      </c>
    </row>
    <row r="334" spans="1:18">
      <c r="A334" s="5" t="s">
        <v>1026</v>
      </c>
      <c r="B334" s="5" t="s">
        <v>1069</v>
      </c>
      <c r="C334" s="5" t="s">
        <v>1070</v>
      </c>
      <c r="D334" s="5" t="s">
        <v>1071</v>
      </c>
      <c r="G334" s="6">
        <v>1760333</v>
      </c>
      <c r="H334" s="6">
        <v>1749418</v>
      </c>
      <c r="I334" s="6">
        <f t="shared" si="14"/>
        <v>-10915</v>
      </c>
      <c r="J334" s="6">
        <v>1748652</v>
      </c>
      <c r="K334" s="6">
        <v>1747848</v>
      </c>
      <c r="L334" s="6">
        <f t="shared" si="15"/>
        <v>-804</v>
      </c>
      <c r="M334" t="s">
        <v>1085</v>
      </c>
      <c r="R334" s="6">
        <f>I334+L334</f>
        <v>-11719</v>
      </c>
    </row>
    <row r="335" spans="1:18">
      <c r="A335" s="5" t="s">
        <v>1026</v>
      </c>
      <c r="B335" s="5" t="s">
        <v>1072</v>
      </c>
      <c r="C335" s="5" t="s">
        <v>1073</v>
      </c>
      <c r="D335" s="5" t="s">
        <v>1074</v>
      </c>
      <c r="E335" s="6">
        <v>1556889</v>
      </c>
      <c r="F335" s="6">
        <v>1557409</v>
      </c>
      <c r="G335" s="6">
        <v>1701667</v>
      </c>
      <c r="H335" s="6">
        <f>F335*1.06</f>
        <v>1650853.54</v>
      </c>
      <c r="I335" s="6">
        <f t="shared" si="14"/>
        <v>-50813.459999999963</v>
      </c>
      <c r="J335" s="6">
        <v>1699243</v>
      </c>
      <c r="K335" s="6">
        <f>H335*1.02</f>
        <v>1683870.6108000001</v>
      </c>
      <c r="L335" s="6">
        <f t="shared" si="15"/>
        <v>-15372.38919999986</v>
      </c>
      <c r="M335" t="s">
        <v>1491</v>
      </c>
      <c r="P335" s="6">
        <f>I335+L335</f>
        <v>-66185.849199999822</v>
      </c>
    </row>
    <row r="336" spans="1:18">
      <c r="A336" s="5" t="s">
        <v>1026</v>
      </c>
      <c r="B336" s="5" t="s">
        <v>1075</v>
      </c>
      <c r="C336" s="5" t="s">
        <v>1076</v>
      </c>
      <c r="D336" s="5" t="s">
        <v>1077</v>
      </c>
      <c r="E336" s="6">
        <v>2426602</v>
      </c>
      <c r="F336" s="6">
        <v>2453998</v>
      </c>
      <c r="G336" s="6">
        <v>2451700</v>
      </c>
      <c r="H336" s="6">
        <v>2451700</v>
      </c>
      <c r="I336" s="6">
        <f t="shared" si="14"/>
        <v>0</v>
      </c>
      <c r="J336" s="6">
        <v>2576925</v>
      </c>
      <c r="K336" s="6">
        <f>H336*1.02</f>
        <v>2500734</v>
      </c>
      <c r="L336" s="6">
        <f t="shared" si="15"/>
        <v>-76191</v>
      </c>
      <c r="M336" t="s">
        <v>1457</v>
      </c>
      <c r="P336" s="6">
        <f>I336+L336</f>
        <v>-76191</v>
      </c>
    </row>
    <row r="337" spans="1:23">
      <c r="A337" s="5" t="s">
        <v>1026</v>
      </c>
      <c r="B337" s="5" t="s">
        <v>1087</v>
      </c>
      <c r="C337" s="5" t="s">
        <v>1088</v>
      </c>
      <c r="D337" s="5" t="s">
        <v>1090</v>
      </c>
      <c r="G337" s="6">
        <v>1293288</v>
      </c>
      <c r="H337" s="6">
        <v>1265360</v>
      </c>
      <c r="I337" s="6">
        <f t="shared" si="14"/>
        <v>-27928</v>
      </c>
      <c r="J337" s="6">
        <v>1312041</v>
      </c>
      <c r="K337" s="6">
        <v>1291065</v>
      </c>
      <c r="L337" s="6">
        <f t="shared" si="15"/>
        <v>-20976</v>
      </c>
      <c r="M337" t="s">
        <v>129</v>
      </c>
      <c r="N337" s="5" t="s">
        <v>1402</v>
      </c>
      <c r="R337" s="6">
        <f>I337+L337</f>
        <v>-48904</v>
      </c>
    </row>
    <row r="338" spans="1:23">
      <c r="A338" s="5" t="s">
        <v>1026</v>
      </c>
      <c r="B338" s="5" t="s">
        <v>1089</v>
      </c>
      <c r="C338" s="5" t="s">
        <v>1092</v>
      </c>
      <c r="D338" s="5" t="s">
        <v>1091</v>
      </c>
      <c r="G338" s="6">
        <v>1284309</v>
      </c>
      <c r="H338" s="6">
        <v>1262528</v>
      </c>
      <c r="I338" s="6">
        <f t="shared" si="14"/>
        <v>-21781</v>
      </c>
      <c r="J338" s="6">
        <v>1331947</v>
      </c>
      <c r="K338" s="6">
        <v>1317731</v>
      </c>
      <c r="L338" s="6">
        <f t="shared" si="15"/>
        <v>-14216</v>
      </c>
      <c r="M338" t="s">
        <v>129</v>
      </c>
      <c r="R338" s="6">
        <f>I338+L338</f>
        <v>-35997</v>
      </c>
    </row>
    <row r="339" spans="1:23">
      <c r="A339" s="5" t="s">
        <v>1026</v>
      </c>
      <c r="B339" s="5" t="s">
        <v>1093</v>
      </c>
      <c r="C339" s="5" t="s">
        <v>1094</v>
      </c>
      <c r="D339" s="5" t="s">
        <v>1095</v>
      </c>
      <c r="G339" s="6">
        <v>1323343</v>
      </c>
      <c r="H339" s="6">
        <v>1314828</v>
      </c>
      <c r="I339" s="6">
        <f t="shared" si="14"/>
        <v>-8515</v>
      </c>
      <c r="J339" s="6">
        <v>1341306</v>
      </c>
      <c r="K339" s="6">
        <v>1337698</v>
      </c>
      <c r="L339" s="6">
        <f t="shared" si="15"/>
        <v>-3608</v>
      </c>
      <c r="M339" t="s">
        <v>129</v>
      </c>
      <c r="R339" s="6">
        <f>I339+L339</f>
        <v>-12123</v>
      </c>
    </row>
    <row r="340" spans="1:23">
      <c r="A340" s="5" t="s">
        <v>1026</v>
      </c>
      <c r="B340" s="5" t="s">
        <v>1096</v>
      </c>
      <c r="C340" s="5" t="s">
        <v>1098</v>
      </c>
      <c r="D340" s="5" t="s">
        <v>1097</v>
      </c>
      <c r="E340" s="6">
        <v>1444479</v>
      </c>
      <c r="F340" s="6">
        <v>1435352</v>
      </c>
      <c r="G340" s="6">
        <v>1522699</v>
      </c>
      <c r="H340" s="6">
        <v>1521344</v>
      </c>
      <c r="I340" s="6">
        <f t="shared" si="14"/>
        <v>-1355</v>
      </c>
      <c r="J340" s="6">
        <v>1551938</v>
      </c>
      <c r="K340" s="6">
        <v>1551938</v>
      </c>
      <c r="L340" s="6">
        <f t="shared" si="15"/>
        <v>0</v>
      </c>
      <c r="M340" t="s">
        <v>1571</v>
      </c>
      <c r="R340" s="6">
        <f>I340+L340</f>
        <v>-1355</v>
      </c>
    </row>
    <row r="341" spans="1:23">
      <c r="A341" s="5" t="s">
        <v>1026</v>
      </c>
      <c r="B341" s="5" t="s">
        <v>1099</v>
      </c>
      <c r="C341" s="5" t="s">
        <v>1100</v>
      </c>
      <c r="D341" s="5" t="s">
        <v>1101</v>
      </c>
      <c r="G341" s="6">
        <v>3873</v>
      </c>
      <c r="H341" s="6">
        <v>3873</v>
      </c>
      <c r="I341" s="6">
        <f t="shared" si="14"/>
        <v>0</v>
      </c>
      <c r="J341" s="6">
        <v>3220</v>
      </c>
      <c r="K341" s="6">
        <v>3220</v>
      </c>
      <c r="L341" s="6">
        <f t="shared" si="15"/>
        <v>0</v>
      </c>
    </row>
    <row r="342" spans="1:23">
      <c r="A342" s="5" t="s">
        <v>1026</v>
      </c>
      <c r="B342" s="5" t="s">
        <v>1102</v>
      </c>
      <c r="C342" s="5" t="s">
        <v>1103</v>
      </c>
      <c r="D342" s="5" t="s">
        <v>1104</v>
      </c>
      <c r="G342" s="6">
        <v>1194063</v>
      </c>
      <c r="H342" s="6">
        <v>1182230</v>
      </c>
      <c r="I342" s="6">
        <f t="shared" si="14"/>
        <v>-11833</v>
      </c>
      <c r="J342" s="6">
        <v>1262073</v>
      </c>
      <c r="K342" s="6">
        <v>1246157</v>
      </c>
      <c r="L342" s="6">
        <f t="shared" si="15"/>
        <v>-15916</v>
      </c>
      <c r="M342" t="s">
        <v>129</v>
      </c>
      <c r="R342" s="6">
        <f>I342+L342</f>
        <v>-27749</v>
      </c>
    </row>
    <row r="343" spans="1:23">
      <c r="A343" s="5" t="s">
        <v>1026</v>
      </c>
      <c r="B343" s="5" t="s">
        <v>1105</v>
      </c>
      <c r="C343" s="5" t="s">
        <v>1106</v>
      </c>
      <c r="D343" s="5" t="s">
        <v>1107</v>
      </c>
      <c r="E343" s="6">
        <v>1237946</v>
      </c>
      <c r="F343" s="6">
        <v>1171779</v>
      </c>
      <c r="G343" s="6">
        <v>1313570</v>
      </c>
      <c r="H343" s="6">
        <f>F343*1.06</f>
        <v>1242085.74</v>
      </c>
      <c r="I343" s="6">
        <f t="shared" si="14"/>
        <v>-71484.260000000009</v>
      </c>
      <c r="J343" s="6">
        <v>1361154</v>
      </c>
      <c r="K343" s="6">
        <f>H343*1.02</f>
        <v>1266927.4547999999</v>
      </c>
      <c r="L343" s="6">
        <f t="shared" si="15"/>
        <v>-94226.545200000051</v>
      </c>
      <c r="M343" t="s">
        <v>1491</v>
      </c>
      <c r="P343" s="6">
        <f>I343+L343</f>
        <v>-165710.80520000006</v>
      </c>
    </row>
    <row r="344" spans="1:23">
      <c r="A344" s="5" t="s">
        <v>1026</v>
      </c>
      <c r="B344" s="5" t="s">
        <v>1108</v>
      </c>
      <c r="C344" s="5" t="s">
        <v>1109</v>
      </c>
      <c r="D344" s="5" t="s">
        <v>1110</v>
      </c>
      <c r="G344" s="6">
        <v>19868073</v>
      </c>
      <c r="H344" s="6">
        <v>19868073</v>
      </c>
      <c r="I344" s="6">
        <f t="shared" si="14"/>
        <v>0</v>
      </c>
      <c r="J344" s="6">
        <v>21874634</v>
      </c>
      <c r="K344" s="6">
        <v>21874634</v>
      </c>
      <c r="L344" s="6">
        <f t="shared" si="15"/>
        <v>0</v>
      </c>
    </row>
    <row r="345" spans="1:23">
      <c r="A345" s="5" t="s">
        <v>1026</v>
      </c>
      <c r="B345" s="5" t="s">
        <v>1111</v>
      </c>
      <c r="C345" s="5" t="s">
        <v>1112</v>
      </c>
      <c r="D345" s="5" t="s">
        <v>1113</v>
      </c>
      <c r="G345" s="6">
        <v>3577853</v>
      </c>
      <c r="H345" s="6">
        <v>3563297</v>
      </c>
      <c r="I345" s="6">
        <f t="shared" si="14"/>
        <v>-14556</v>
      </c>
      <c r="J345" s="6">
        <v>3617754</v>
      </c>
      <c r="K345" s="6">
        <v>3590130</v>
      </c>
      <c r="L345" s="6">
        <f t="shared" si="15"/>
        <v>-27624</v>
      </c>
      <c r="M345" s="4" t="s">
        <v>1085</v>
      </c>
      <c r="W345" s="6">
        <f>I345+L345</f>
        <v>-42180</v>
      </c>
    </row>
    <row r="346" spans="1:23">
      <c r="A346" s="5" t="s">
        <v>1026</v>
      </c>
      <c r="B346" s="5" t="s">
        <v>1114</v>
      </c>
      <c r="C346" s="5" t="s">
        <v>1115</v>
      </c>
      <c r="D346" s="5" t="s">
        <v>1116</v>
      </c>
      <c r="G346" s="6">
        <v>5857643</v>
      </c>
      <c r="H346" s="6">
        <v>5857643</v>
      </c>
      <c r="I346" s="6">
        <f t="shared" si="14"/>
        <v>0</v>
      </c>
      <c r="J346" s="6">
        <v>5883327</v>
      </c>
      <c r="K346" s="6">
        <v>5883327</v>
      </c>
      <c r="L346" s="6">
        <f t="shared" si="15"/>
        <v>0</v>
      </c>
    </row>
    <row r="347" spans="1:23">
      <c r="A347" s="5" t="s">
        <v>1026</v>
      </c>
      <c r="B347" s="5" t="s">
        <v>1117</v>
      </c>
      <c r="C347" s="5" t="s">
        <v>1118</v>
      </c>
      <c r="D347" s="5" t="s">
        <v>1119</v>
      </c>
      <c r="G347" s="6">
        <v>3540434</v>
      </c>
      <c r="H347" s="6">
        <v>3540434</v>
      </c>
      <c r="I347" s="6">
        <f t="shared" si="14"/>
        <v>0</v>
      </c>
      <c r="J347" s="6">
        <v>3695444</v>
      </c>
      <c r="K347" s="6">
        <v>3695444</v>
      </c>
      <c r="L347" s="6">
        <f t="shared" si="15"/>
        <v>0</v>
      </c>
    </row>
    <row r="348" spans="1:23">
      <c r="A348" s="5" t="s">
        <v>1120</v>
      </c>
      <c r="B348" s="5" t="s">
        <v>1121</v>
      </c>
      <c r="C348" s="5" t="s">
        <v>1122</v>
      </c>
      <c r="D348" s="5" t="s">
        <v>1123</v>
      </c>
      <c r="G348" s="6">
        <v>27489684</v>
      </c>
      <c r="H348" s="6">
        <v>27489684</v>
      </c>
      <c r="I348" s="6">
        <f t="shared" si="14"/>
        <v>0</v>
      </c>
      <c r="J348" s="6">
        <v>22846929</v>
      </c>
      <c r="K348" s="6">
        <v>22846929</v>
      </c>
      <c r="L348" s="6">
        <f t="shared" si="15"/>
        <v>0</v>
      </c>
    </row>
    <row r="349" spans="1:23">
      <c r="A349" s="5" t="s">
        <v>1120</v>
      </c>
      <c r="B349" s="5" t="s">
        <v>1124</v>
      </c>
      <c r="C349" s="5" t="s">
        <v>1125</v>
      </c>
      <c r="D349" s="5" t="s">
        <v>1126</v>
      </c>
      <c r="G349" s="6">
        <v>4874980</v>
      </c>
      <c r="H349" s="6">
        <v>4874980</v>
      </c>
      <c r="I349" s="6">
        <f t="shared" si="14"/>
        <v>0</v>
      </c>
      <c r="J349" s="6">
        <v>5147605</v>
      </c>
      <c r="K349" s="6">
        <v>5147605</v>
      </c>
      <c r="L349" s="6">
        <f t="shared" si="15"/>
        <v>0</v>
      </c>
    </row>
    <row r="350" spans="1:23">
      <c r="A350" s="5" t="s">
        <v>1120</v>
      </c>
      <c r="B350" s="5" t="s">
        <v>1127</v>
      </c>
      <c r="C350" s="5" t="s">
        <v>1128</v>
      </c>
      <c r="D350" s="5" t="s">
        <v>1129</v>
      </c>
      <c r="G350" s="6">
        <v>0</v>
      </c>
      <c r="H350" s="6">
        <v>0</v>
      </c>
      <c r="I350" s="6">
        <f t="shared" si="14"/>
        <v>0</v>
      </c>
      <c r="J350" s="6">
        <v>0</v>
      </c>
      <c r="K350" s="6">
        <v>0</v>
      </c>
      <c r="L350" s="6">
        <f t="shared" si="15"/>
        <v>0</v>
      </c>
    </row>
    <row r="351" spans="1:23">
      <c r="A351" s="5" t="s">
        <v>1120</v>
      </c>
      <c r="B351" s="5" t="s">
        <v>1130</v>
      </c>
      <c r="C351" s="5" t="s">
        <v>1131</v>
      </c>
      <c r="D351" s="5" t="s">
        <v>1132</v>
      </c>
      <c r="G351" s="6">
        <v>1231038</v>
      </c>
      <c r="H351" s="6">
        <v>1224724</v>
      </c>
      <c r="I351" s="6">
        <f t="shared" si="14"/>
        <v>-6314</v>
      </c>
      <c r="J351" s="6">
        <v>1228768</v>
      </c>
      <c r="K351" s="6">
        <v>1219272</v>
      </c>
      <c r="L351" s="6">
        <f t="shared" si="15"/>
        <v>-9496</v>
      </c>
      <c r="M351" s="4" t="s">
        <v>129</v>
      </c>
      <c r="W351" s="6">
        <f>I351+L351</f>
        <v>-15810</v>
      </c>
    </row>
    <row r="352" spans="1:23">
      <c r="A352" s="5" t="s">
        <v>1120</v>
      </c>
      <c r="B352" s="5" t="s">
        <v>1133</v>
      </c>
      <c r="C352" s="5" t="s">
        <v>1134</v>
      </c>
      <c r="D352" s="5" t="s">
        <v>1135</v>
      </c>
      <c r="G352" s="6">
        <v>10239015</v>
      </c>
      <c r="H352" s="6">
        <v>10239015</v>
      </c>
      <c r="I352" s="6">
        <f t="shared" si="14"/>
        <v>0</v>
      </c>
      <c r="J352" s="6">
        <v>9597434</v>
      </c>
      <c r="K352" s="6">
        <v>9597434</v>
      </c>
      <c r="L352" s="6">
        <f t="shared" si="15"/>
        <v>0</v>
      </c>
      <c r="M352" s="5"/>
    </row>
    <row r="353" spans="1:25">
      <c r="A353" s="5" t="s">
        <v>1120</v>
      </c>
      <c r="B353" s="5" t="s">
        <v>1136</v>
      </c>
      <c r="C353" s="5" t="s">
        <v>1137</v>
      </c>
      <c r="D353" s="5" t="s">
        <v>1138</v>
      </c>
      <c r="G353" s="6">
        <v>14868191</v>
      </c>
      <c r="H353" s="6">
        <v>14868191</v>
      </c>
      <c r="I353" s="6">
        <f t="shared" si="14"/>
        <v>0</v>
      </c>
      <c r="J353" s="6">
        <v>15827903</v>
      </c>
      <c r="K353" s="6">
        <v>15813015</v>
      </c>
      <c r="L353" s="6">
        <f t="shared" si="15"/>
        <v>-14888</v>
      </c>
      <c r="M353" s="4" t="s">
        <v>129</v>
      </c>
      <c r="W353" s="6">
        <f>I353+L353</f>
        <v>-14888</v>
      </c>
    </row>
    <row r="354" spans="1:25">
      <c r="A354" s="5" t="s">
        <v>1120</v>
      </c>
      <c r="B354" s="5" t="s">
        <v>1139</v>
      </c>
      <c r="C354" s="5" t="s">
        <v>1140</v>
      </c>
      <c r="D354" s="5" t="s">
        <v>1141</v>
      </c>
      <c r="E354" s="6">
        <v>4424148</v>
      </c>
      <c r="F354" s="6">
        <v>4478883</v>
      </c>
      <c r="G354" s="6">
        <v>4987293</v>
      </c>
      <c r="H354" s="6">
        <f>F354*1.06</f>
        <v>4747615.9800000004</v>
      </c>
      <c r="I354" s="6">
        <f t="shared" si="14"/>
        <v>-239677.01999999955</v>
      </c>
      <c r="J354" s="6">
        <v>5093936</v>
      </c>
      <c r="K354" s="6">
        <f>H354*1.02</f>
        <v>4842568.2996000005</v>
      </c>
      <c r="L354" s="6">
        <f t="shared" si="15"/>
        <v>-251367.70039999951</v>
      </c>
      <c r="M354" s="4" t="s">
        <v>1491</v>
      </c>
      <c r="U354" s="6">
        <f>I354+L354</f>
        <v>-491044.72039999906</v>
      </c>
    </row>
    <row r="355" spans="1:25">
      <c r="A355" s="5" t="s">
        <v>1120</v>
      </c>
      <c r="B355" s="5" t="s">
        <v>1142</v>
      </c>
      <c r="C355" s="5" t="s">
        <v>1143</v>
      </c>
      <c r="D355" s="5" t="s">
        <v>1144</v>
      </c>
      <c r="G355" s="6">
        <v>11034306</v>
      </c>
      <c r="H355" s="6">
        <v>11034306</v>
      </c>
      <c r="I355" s="6">
        <f t="shared" si="14"/>
        <v>0</v>
      </c>
      <c r="J355" s="6">
        <v>11876457</v>
      </c>
      <c r="K355" s="6">
        <v>10737300</v>
      </c>
      <c r="L355" s="6">
        <f t="shared" si="15"/>
        <v>-1139157</v>
      </c>
      <c r="M355" s="4" t="s">
        <v>129</v>
      </c>
      <c r="W355" s="6">
        <f>I355+L355</f>
        <v>-1139157</v>
      </c>
    </row>
    <row r="356" spans="1:25">
      <c r="A356" s="5" t="s">
        <v>1120</v>
      </c>
      <c r="B356" s="5" t="s">
        <v>1145</v>
      </c>
      <c r="C356" s="5" t="s">
        <v>1146</v>
      </c>
      <c r="D356" s="5" t="s">
        <v>1147</v>
      </c>
      <c r="G356" s="6">
        <v>10959402</v>
      </c>
      <c r="H356" s="6">
        <v>10959402</v>
      </c>
      <c r="I356" s="6">
        <f t="shared" si="14"/>
        <v>0</v>
      </c>
      <c r="J356" s="6">
        <v>11158194</v>
      </c>
      <c r="K356" s="6">
        <v>11158194</v>
      </c>
      <c r="L356" s="6">
        <f t="shared" si="15"/>
        <v>0</v>
      </c>
      <c r="M356" s="5"/>
    </row>
    <row r="357" spans="1:25">
      <c r="A357" s="5" t="s">
        <v>1120</v>
      </c>
      <c r="B357" s="5" t="s">
        <v>1148</v>
      </c>
      <c r="C357" s="5" t="s">
        <v>1149</v>
      </c>
      <c r="D357" s="5" t="s">
        <v>1150</v>
      </c>
      <c r="G357" s="6">
        <v>5347426</v>
      </c>
      <c r="H357" s="6">
        <v>5347426</v>
      </c>
      <c r="I357" s="6">
        <f t="shared" si="14"/>
        <v>0</v>
      </c>
      <c r="J357" s="6">
        <v>8452242</v>
      </c>
      <c r="K357" s="6">
        <v>8452242</v>
      </c>
      <c r="L357" s="6">
        <f t="shared" si="15"/>
        <v>0</v>
      </c>
      <c r="M357" s="5"/>
      <c r="W357" s="6"/>
    </row>
    <row r="358" spans="1:25">
      <c r="A358" s="5" t="s">
        <v>1120</v>
      </c>
      <c r="B358" s="5" t="s">
        <v>1151</v>
      </c>
      <c r="C358" s="5" t="s">
        <v>1152</v>
      </c>
      <c r="D358" s="5" t="s">
        <v>1153</v>
      </c>
      <c r="E358" s="6">
        <v>7349667</v>
      </c>
      <c r="F358" s="6">
        <v>7349667</v>
      </c>
      <c r="G358" s="6">
        <v>9874847</v>
      </c>
      <c r="H358" s="6">
        <v>9874847</v>
      </c>
      <c r="I358" s="6">
        <f t="shared" si="14"/>
        <v>0</v>
      </c>
      <c r="J358" s="6">
        <v>9644226</v>
      </c>
      <c r="K358" s="6">
        <v>9644226</v>
      </c>
      <c r="L358" s="6">
        <f t="shared" si="15"/>
        <v>0</v>
      </c>
      <c r="M358" s="5"/>
      <c r="N358" s="5" t="s">
        <v>1572</v>
      </c>
      <c r="U358" s="6"/>
    </row>
    <row r="359" spans="1:25">
      <c r="A359" s="5" t="s">
        <v>1120</v>
      </c>
      <c r="B359" s="5" t="s">
        <v>1154</v>
      </c>
      <c r="C359" s="5" t="s">
        <v>1155</v>
      </c>
      <c r="D359" s="5" t="s">
        <v>1156</v>
      </c>
      <c r="G359" s="6">
        <v>8067635</v>
      </c>
      <c r="H359" s="6">
        <v>8067635</v>
      </c>
      <c r="I359" s="6">
        <f t="shared" si="14"/>
        <v>0</v>
      </c>
      <c r="J359" s="6">
        <v>8067635</v>
      </c>
      <c r="K359" s="6">
        <v>8067635</v>
      </c>
      <c r="L359" s="6">
        <f t="shared" si="15"/>
        <v>0</v>
      </c>
      <c r="M359" s="5"/>
    </row>
    <row r="360" spans="1:25">
      <c r="A360" s="5" t="s">
        <v>1120</v>
      </c>
      <c r="B360" s="5" t="s">
        <v>1157</v>
      </c>
      <c r="C360" s="5" t="s">
        <v>1158</v>
      </c>
      <c r="D360" s="5" t="s">
        <v>1159</v>
      </c>
      <c r="E360" s="6">
        <v>40812557</v>
      </c>
      <c r="F360" s="6">
        <v>41823932</v>
      </c>
      <c r="G360" s="6">
        <v>46684167</v>
      </c>
      <c r="H360" s="6">
        <f>F360*1.06</f>
        <v>44333367.920000002</v>
      </c>
      <c r="I360" s="6">
        <f t="shared" si="14"/>
        <v>-2350799.0799999982</v>
      </c>
      <c r="J360" s="6">
        <v>49359860</v>
      </c>
      <c r="K360" s="6">
        <f>H360*1.02</f>
        <v>45220035.278400004</v>
      </c>
      <c r="L360" s="6">
        <f t="shared" si="15"/>
        <v>-4139824.7215999961</v>
      </c>
      <c r="M360" s="4" t="s">
        <v>1491</v>
      </c>
      <c r="U360" s="6">
        <f>I360+L360</f>
        <v>-6490623.8015999943</v>
      </c>
    </row>
    <row r="361" spans="1:25">
      <c r="A361" s="5" t="s">
        <v>1120</v>
      </c>
      <c r="B361" s="5" t="s">
        <v>1160</v>
      </c>
      <c r="C361" s="5" t="s">
        <v>1161</v>
      </c>
      <c r="D361" s="5" t="s">
        <v>1162</v>
      </c>
      <c r="E361" s="6">
        <v>3730034</v>
      </c>
      <c r="F361" s="6">
        <v>3793628</v>
      </c>
      <c r="G361" s="63">
        <v>4219411</v>
      </c>
      <c r="H361" s="6">
        <f>F361*1.06</f>
        <v>4021245.68</v>
      </c>
      <c r="I361" s="6">
        <f t="shared" si="14"/>
        <v>-198165.31999999983</v>
      </c>
      <c r="J361" s="6">
        <v>4367684</v>
      </c>
      <c r="K361" s="6">
        <f>H361*1.02</f>
        <v>4101670.5936000003</v>
      </c>
      <c r="L361" s="6">
        <f t="shared" si="15"/>
        <v>-266013.40639999975</v>
      </c>
      <c r="M361" s="4" t="s">
        <v>1491</v>
      </c>
      <c r="U361" s="6">
        <f>I361+L361</f>
        <v>-464178.72639999958</v>
      </c>
    </row>
    <row r="362" spans="1:25">
      <c r="A362" s="5" t="s">
        <v>1120</v>
      </c>
      <c r="B362" s="5" t="s">
        <v>1163</v>
      </c>
      <c r="C362" s="5" t="s">
        <v>1164</v>
      </c>
      <c r="D362" s="5" t="s">
        <v>1165</v>
      </c>
      <c r="E362" s="6">
        <v>1306959</v>
      </c>
      <c r="F362" s="6">
        <v>1323847</v>
      </c>
      <c r="G362" s="6">
        <v>1920225</v>
      </c>
      <c r="H362" s="6">
        <f>F362*1.06</f>
        <v>1403277.82</v>
      </c>
      <c r="I362" s="6">
        <f t="shared" si="14"/>
        <v>-516947.17999999993</v>
      </c>
      <c r="J362" s="6">
        <v>1662396</v>
      </c>
      <c r="K362" s="6">
        <f>H362*1.02</f>
        <v>1431343.3764000002</v>
      </c>
      <c r="L362" s="6">
        <f t="shared" si="15"/>
        <v>-231052.62359999982</v>
      </c>
      <c r="M362" s="4" t="s">
        <v>1491</v>
      </c>
      <c r="U362" s="6">
        <f>I362+L362</f>
        <v>-747999.80359999975</v>
      </c>
    </row>
    <row r="363" spans="1:25">
      <c r="A363" s="5" t="s">
        <v>1166</v>
      </c>
      <c r="B363" s="5" t="s">
        <v>1167</v>
      </c>
      <c r="C363" s="5" t="s">
        <v>1168</v>
      </c>
      <c r="D363" s="5" t="s">
        <v>1169</v>
      </c>
      <c r="G363" s="6">
        <v>3096383</v>
      </c>
      <c r="H363" s="6">
        <v>3096383</v>
      </c>
      <c r="I363" s="6">
        <f t="shared" si="14"/>
        <v>0</v>
      </c>
      <c r="J363" s="6">
        <v>3124635</v>
      </c>
      <c r="K363" s="6">
        <v>3124635</v>
      </c>
      <c r="L363" s="6">
        <f t="shared" si="15"/>
        <v>0</v>
      </c>
      <c r="M363" s="5"/>
    </row>
    <row r="364" spans="1:25">
      <c r="A364" s="5" t="s">
        <v>1166</v>
      </c>
      <c r="B364" s="5" t="s">
        <v>1170</v>
      </c>
      <c r="C364" s="5" t="s">
        <v>1171</v>
      </c>
      <c r="D364" s="5" t="s">
        <v>1172</v>
      </c>
      <c r="E364" s="6">
        <v>571509</v>
      </c>
      <c r="F364" s="6">
        <v>577521</v>
      </c>
      <c r="G364" s="6">
        <v>774637</v>
      </c>
      <c r="H364" s="6">
        <v>774637</v>
      </c>
      <c r="I364" s="6">
        <f t="shared" si="14"/>
        <v>0</v>
      </c>
      <c r="J364" s="6">
        <v>762138</v>
      </c>
      <c r="K364" s="6">
        <v>762138</v>
      </c>
      <c r="L364" s="6">
        <f t="shared" si="15"/>
        <v>0</v>
      </c>
      <c r="M364" s="5"/>
    </row>
    <row r="365" spans="1:25">
      <c r="A365" s="5" t="s">
        <v>1166</v>
      </c>
      <c r="B365" s="5" t="s">
        <v>1173</v>
      </c>
      <c r="C365" s="5" t="s">
        <v>1174</v>
      </c>
      <c r="D365" s="5" t="s">
        <v>1175</v>
      </c>
      <c r="G365" s="6">
        <v>634033</v>
      </c>
      <c r="H365" s="6">
        <v>634033</v>
      </c>
      <c r="I365" s="6">
        <f t="shared" si="14"/>
        <v>0</v>
      </c>
      <c r="J365" s="6">
        <v>643125</v>
      </c>
      <c r="K365" s="6">
        <v>643125</v>
      </c>
      <c r="L365" s="6">
        <f t="shared" si="15"/>
        <v>0</v>
      </c>
      <c r="M365" s="5"/>
    </row>
    <row r="366" spans="1:25">
      <c r="A366" s="5" t="s">
        <v>1166</v>
      </c>
      <c r="B366" s="5" t="s">
        <v>1176</v>
      </c>
      <c r="C366" s="5" t="s">
        <v>1177</v>
      </c>
      <c r="D366" s="5" t="s">
        <v>1178</v>
      </c>
      <c r="E366" s="6">
        <v>990445</v>
      </c>
      <c r="F366" s="6">
        <v>1005942</v>
      </c>
      <c r="G366" s="6">
        <v>1085953</v>
      </c>
      <c r="H366" s="6">
        <f>F366*1.06</f>
        <v>1066298.52</v>
      </c>
      <c r="I366" s="6">
        <f t="shared" si="14"/>
        <v>-19654.479999999981</v>
      </c>
      <c r="J366" s="6">
        <v>1087886</v>
      </c>
      <c r="K366" s="6">
        <f>H366*1.02</f>
        <v>1087624.4904</v>
      </c>
      <c r="L366" s="6">
        <f t="shared" si="15"/>
        <v>-261.50959999999031</v>
      </c>
      <c r="M366" s="5" t="s">
        <v>1491</v>
      </c>
      <c r="R366" s="6">
        <f>I366+L366</f>
        <v>-19915.989599999972</v>
      </c>
    </row>
    <row r="367" spans="1:25">
      <c r="A367" s="5" t="s">
        <v>1166</v>
      </c>
      <c r="B367" s="5" t="s">
        <v>1179</v>
      </c>
      <c r="C367" s="5" t="s">
        <v>1181</v>
      </c>
      <c r="D367" s="5" t="s">
        <v>1180</v>
      </c>
      <c r="G367" s="6">
        <v>2366940</v>
      </c>
      <c r="H367" s="6">
        <f>G367-1614563</f>
        <v>752377</v>
      </c>
      <c r="I367" s="6">
        <f t="shared" si="14"/>
        <v>-1614563</v>
      </c>
      <c r="J367" s="6">
        <v>3053181</v>
      </c>
      <c r="K367" s="6">
        <f>J367-1600497</f>
        <v>1452684</v>
      </c>
      <c r="L367" s="6">
        <f t="shared" si="15"/>
        <v>-1600497</v>
      </c>
      <c r="M367" s="10" t="s">
        <v>1443</v>
      </c>
      <c r="Y367" s="6">
        <f>I367+L367</f>
        <v>-3215060</v>
      </c>
    </row>
    <row r="368" spans="1:25">
      <c r="A368" s="5" t="s">
        <v>1166</v>
      </c>
      <c r="B368" s="5" t="s">
        <v>1182</v>
      </c>
      <c r="C368" s="5" t="s">
        <v>1183</v>
      </c>
      <c r="D368" s="5" t="s">
        <v>1184</v>
      </c>
      <c r="E368" s="6">
        <v>629449</v>
      </c>
      <c r="F368" s="6">
        <v>634776</v>
      </c>
      <c r="G368" s="6">
        <v>1162446</v>
      </c>
      <c r="H368" s="6">
        <f>F368*1.06</f>
        <v>672862.56</v>
      </c>
      <c r="I368" s="6">
        <f t="shared" si="14"/>
        <v>-489583.43999999994</v>
      </c>
      <c r="J368" s="6">
        <v>1172914</v>
      </c>
      <c r="K368" s="6">
        <f>H368*1.02</f>
        <v>686319.81120000011</v>
      </c>
      <c r="L368" s="6">
        <f t="shared" si="15"/>
        <v>-486594.18879999989</v>
      </c>
      <c r="M368" s="3" t="s">
        <v>1491</v>
      </c>
      <c r="P368" s="6">
        <f>I368+L368</f>
        <v>-976177.62879999983</v>
      </c>
    </row>
    <row r="369" spans="1:23">
      <c r="A369" s="5" t="s">
        <v>1166</v>
      </c>
      <c r="B369" s="5" t="s">
        <v>1185</v>
      </c>
      <c r="C369" s="5" t="s">
        <v>1186</v>
      </c>
      <c r="D369" s="5" t="s">
        <v>1187</v>
      </c>
      <c r="E369" s="6">
        <v>65154807</v>
      </c>
      <c r="F369" s="6">
        <v>66006255</v>
      </c>
      <c r="G369" s="6">
        <v>72159789</v>
      </c>
      <c r="H369" s="6">
        <v>72159789</v>
      </c>
      <c r="I369" s="6">
        <f t="shared" si="14"/>
        <v>0</v>
      </c>
      <c r="J369" s="6">
        <v>71189868</v>
      </c>
      <c r="K369" s="6">
        <v>71189868</v>
      </c>
      <c r="L369" s="6">
        <f t="shared" si="15"/>
        <v>0</v>
      </c>
    </row>
    <row r="370" spans="1:23">
      <c r="A370" s="5" t="s">
        <v>1166</v>
      </c>
      <c r="B370" s="5" t="s">
        <v>1188</v>
      </c>
      <c r="C370" s="5" t="s">
        <v>1189</v>
      </c>
      <c r="D370" s="5" t="s">
        <v>1190</v>
      </c>
      <c r="G370" s="6">
        <v>34804</v>
      </c>
      <c r="H370" s="6">
        <v>34804</v>
      </c>
      <c r="I370" s="6">
        <f t="shared" si="14"/>
        <v>0</v>
      </c>
      <c r="J370" s="6">
        <v>20612</v>
      </c>
      <c r="K370" s="6">
        <v>20612</v>
      </c>
      <c r="L370" s="6">
        <f t="shared" si="15"/>
        <v>0</v>
      </c>
    </row>
    <row r="371" spans="1:23">
      <c r="A371" s="5" t="s">
        <v>1166</v>
      </c>
      <c r="B371" s="5" t="s">
        <v>1191</v>
      </c>
      <c r="C371" s="5" t="s">
        <v>1192</v>
      </c>
      <c r="D371" s="5" t="s">
        <v>1193</v>
      </c>
      <c r="G371" s="6">
        <v>1719608</v>
      </c>
      <c r="H371" s="6">
        <v>1719608</v>
      </c>
      <c r="I371" s="6">
        <f t="shared" si="14"/>
        <v>0</v>
      </c>
      <c r="J371" s="6">
        <v>1665779</v>
      </c>
      <c r="K371" s="6">
        <v>1665779</v>
      </c>
      <c r="L371" s="6">
        <f t="shared" si="15"/>
        <v>0</v>
      </c>
    </row>
    <row r="372" spans="1:23">
      <c r="A372" s="5" t="s">
        <v>1166</v>
      </c>
      <c r="B372" s="5" t="s">
        <v>1194</v>
      </c>
      <c r="C372" s="5" t="s">
        <v>1195</v>
      </c>
      <c r="D372" s="5" t="s">
        <v>1196</v>
      </c>
      <c r="E372" s="6">
        <v>32371282</v>
      </c>
      <c r="F372" s="6">
        <v>32886131</v>
      </c>
      <c r="G372" s="6">
        <v>47790876</v>
      </c>
      <c r="H372" s="6">
        <f>43398441*1.02</f>
        <v>44266409.82</v>
      </c>
      <c r="I372" s="6">
        <f t="shared" si="14"/>
        <v>-3524466.1799999997</v>
      </c>
      <c r="J372" s="6">
        <v>49219584</v>
      </c>
      <c r="K372" s="6">
        <f>H372*1.02</f>
        <v>45151738.016400002</v>
      </c>
      <c r="L372" s="6">
        <f t="shared" si="15"/>
        <v>-4067845.9835999981</v>
      </c>
      <c r="M372" t="s">
        <v>1603</v>
      </c>
      <c r="P372" s="6">
        <f>I372+L372</f>
        <v>-7592312.1635999978</v>
      </c>
    </row>
    <row r="373" spans="1:23">
      <c r="A373" s="5" t="s">
        <v>1166</v>
      </c>
      <c r="B373" s="5" t="s">
        <v>1197</v>
      </c>
      <c r="C373" s="5" t="s">
        <v>1198</v>
      </c>
      <c r="D373" s="5" t="s">
        <v>1199</v>
      </c>
      <c r="E373" s="6">
        <v>6561994</v>
      </c>
      <c r="F373" s="6">
        <v>6431540</v>
      </c>
      <c r="G373" s="6">
        <v>6868187</v>
      </c>
      <c r="H373" s="6">
        <f>F373*1.06</f>
        <v>6817432.4000000004</v>
      </c>
      <c r="I373" s="6">
        <f t="shared" si="14"/>
        <v>-50754.599999999627</v>
      </c>
      <c r="J373" s="6">
        <v>6908261</v>
      </c>
      <c r="K373" s="6">
        <v>6908261</v>
      </c>
      <c r="L373" s="6">
        <f t="shared" si="15"/>
        <v>0</v>
      </c>
      <c r="M373" t="s">
        <v>1488</v>
      </c>
      <c r="P373" s="6">
        <f>I373+L373</f>
        <v>-50754.599999999627</v>
      </c>
    </row>
    <row r="374" spans="1:23">
      <c r="A374" s="5" t="s">
        <v>1166</v>
      </c>
      <c r="B374" s="5" t="s">
        <v>1200</v>
      </c>
      <c r="C374" s="5" t="s">
        <v>1201</v>
      </c>
      <c r="D374" s="5" t="s">
        <v>1202</v>
      </c>
      <c r="G374" s="6">
        <v>4999944</v>
      </c>
      <c r="H374" s="6">
        <v>4999944</v>
      </c>
      <c r="I374" s="6">
        <f t="shared" si="14"/>
        <v>0</v>
      </c>
      <c r="J374" s="6">
        <v>4357925</v>
      </c>
      <c r="K374" s="6">
        <v>4357925</v>
      </c>
      <c r="L374" s="6">
        <f t="shared" si="15"/>
        <v>0</v>
      </c>
    </row>
    <row r="375" spans="1:23">
      <c r="A375" s="5" t="s">
        <v>1166</v>
      </c>
      <c r="B375" s="5" t="s">
        <v>1203</v>
      </c>
      <c r="C375" s="5" t="s">
        <v>1204</v>
      </c>
      <c r="D375" s="5" t="s">
        <v>1205</v>
      </c>
      <c r="G375" s="6">
        <v>17013850</v>
      </c>
      <c r="H375" s="6">
        <v>17013850</v>
      </c>
      <c r="I375" s="6">
        <f t="shared" si="14"/>
        <v>0</v>
      </c>
      <c r="J375" s="6">
        <v>16181385</v>
      </c>
      <c r="K375" s="6">
        <v>16181385</v>
      </c>
      <c r="L375" s="6">
        <f t="shared" si="15"/>
        <v>0</v>
      </c>
    </row>
    <row r="376" spans="1:23">
      <c r="A376" s="5" t="s">
        <v>1166</v>
      </c>
      <c r="B376" s="5" t="s">
        <v>1206</v>
      </c>
      <c r="C376" s="5" t="s">
        <v>1207</v>
      </c>
      <c r="D376" s="5" t="s">
        <v>1208</v>
      </c>
      <c r="G376" s="6">
        <v>432948</v>
      </c>
      <c r="H376" s="6">
        <v>424873</v>
      </c>
      <c r="I376" s="6">
        <f t="shared" si="14"/>
        <v>-8075</v>
      </c>
      <c r="J376" s="6">
        <v>434927</v>
      </c>
      <c r="K376" s="6">
        <v>427683</v>
      </c>
      <c r="L376" s="6">
        <f t="shared" si="15"/>
        <v>-7244</v>
      </c>
      <c r="M376" t="s">
        <v>129</v>
      </c>
      <c r="R376" s="6">
        <f>I376+L376</f>
        <v>-15319</v>
      </c>
    </row>
    <row r="377" spans="1:23">
      <c r="A377" s="5" t="s">
        <v>1166</v>
      </c>
      <c r="B377" s="5" t="s">
        <v>1209</v>
      </c>
      <c r="C377" s="5" t="s">
        <v>1210</v>
      </c>
      <c r="D377" s="5" t="s">
        <v>1211</v>
      </c>
      <c r="G377" s="6">
        <v>23215983</v>
      </c>
      <c r="H377" s="6">
        <f>G377+4659557-7825022</f>
        <v>20050518</v>
      </c>
      <c r="I377" s="6">
        <f t="shared" si="14"/>
        <v>-3165465</v>
      </c>
      <c r="J377" s="6">
        <v>25119621</v>
      </c>
      <c r="K377" s="6">
        <f>J377+2386929-9528553</f>
        <v>17977997</v>
      </c>
      <c r="L377" s="6">
        <f t="shared" si="15"/>
        <v>-7141624</v>
      </c>
      <c r="M377" s="4" t="s">
        <v>1573</v>
      </c>
      <c r="O377" s="6">
        <v>3165465</v>
      </c>
      <c r="R377" s="6"/>
      <c r="W377" s="6">
        <f>I377+L377</f>
        <v>-10307089</v>
      </c>
    </row>
    <row r="378" spans="1:23">
      <c r="A378" s="5" t="s">
        <v>1166</v>
      </c>
      <c r="B378" s="5" t="s">
        <v>1212</v>
      </c>
      <c r="C378" s="5" t="s">
        <v>1213</v>
      </c>
      <c r="D378" s="5" t="s">
        <v>1214</v>
      </c>
      <c r="G378" s="6">
        <v>8832274</v>
      </c>
      <c r="H378" s="6">
        <v>8832274</v>
      </c>
      <c r="I378" s="6">
        <f t="shared" si="14"/>
        <v>0</v>
      </c>
      <c r="J378" s="6">
        <v>8798206</v>
      </c>
      <c r="K378" s="6">
        <v>8798206</v>
      </c>
      <c r="L378" s="6">
        <f t="shared" si="15"/>
        <v>0</v>
      </c>
    </row>
    <row r="379" spans="1:23">
      <c r="A379" s="5" t="s">
        <v>1166</v>
      </c>
      <c r="B379" s="5" t="s">
        <v>1215</v>
      </c>
      <c r="C379" s="5" t="s">
        <v>1216</v>
      </c>
      <c r="D379" s="5" t="s">
        <v>1217</v>
      </c>
      <c r="G379" s="6">
        <v>15087</v>
      </c>
      <c r="H379" s="6">
        <v>0</v>
      </c>
      <c r="I379" s="6">
        <f t="shared" si="14"/>
        <v>-15087</v>
      </c>
      <c r="J379" s="6">
        <v>15087</v>
      </c>
      <c r="K379" s="6">
        <v>0</v>
      </c>
      <c r="L379" s="6">
        <f t="shared" si="15"/>
        <v>-15087</v>
      </c>
      <c r="M379" t="s">
        <v>509</v>
      </c>
      <c r="S379" s="61">
        <f>I379+L379</f>
        <v>-30174</v>
      </c>
      <c r="T379" s="61"/>
    </row>
    <row r="380" spans="1:23">
      <c r="A380" s="5" t="s">
        <v>1166</v>
      </c>
      <c r="B380" s="5" t="s">
        <v>1218</v>
      </c>
      <c r="C380" s="5" t="s">
        <v>1219</v>
      </c>
      <c r="D380" s="5" t="s">
        <v>1220</v>
      </c>
      <c r="G380" s="6">
        <v>2395820</v>
      </c>
      <c r="H380" s="61">
        <v>2395820</v>
      </c>
      <c r="I380" s="6">
        <f t="shared" si="14"/>
        <v>0</v>
      </c>
      <c r="J380" s="6">
        <v>2392332</v>
      </c>
      <c r="K380" s="6">
        <v>2392332</v>
      </c>
      <c r="L380" s="6">
        <f t="shared" si="15"/>
        <v>0</v>
      </c>
    </row>
    <row r="381" spans="1:23">
      <c r="A381" s="5" t="s">
        <v>1166</v>
      </c>
      <c r="B381" s="5" t="s">
        <v>1221</v>
      </c>
      <c r="C381" s="5" t="s">
        <v>1222</v>
      </c>
      <c r="D381" s="5" t="s">
        <v>1223</v>
      </c>
      <c r="G381" s="6">
        <v>2705743</v>
      </c>
      <c r="H381" s="6">
        <v>2705743</v>
      </c>
      <c r="I381" s="6">
        <f t="shared" si="14"/>
        <v>0</v>
      </c>
      <c r="J381" s="6">
        <v>2761441</v>
      </c>
      <c r="K381" s="6">
        <v>2761441</v>
      </c>
      <c r="L381" s="6">
        <f t="shared" si="15"/>
        <v>0</v>
      </c>
    </row>
    <row r="382" spans="1:23">
      <c r="A382" s="5" t="s">
        <v>1166</v>
      </c>
      <c r="B382" s="5" t="s">
        <v>1224</v>
      </c>
      <c r="C382" s="5" t="s">
        <v>1225</v>
      </c>
      <c r="D382" s="5" t="s">
        <v>1226</v>
      </c>
      <c r="G382" s="6">
        <v>236073</v>
      </c>
      <c r="H382" s="6">
        <v>0</v>
      </c>
      <c r="I382" s="6">
        <f t="shared" si="14"/>
        <v>-236073</v>
      </c>
      <c r="J382" s="6">
        <v>191002</v>
      </c>
      <c r="K382" s="6">
        <v>0</v>
      </c>
      <c r="L382" s="6">
        <f t="shared" si="15"/>
        <v>-191002</v>
      </c>
      <c r="M382" s="4" t="s">
        <v>1447</v>
      </c>
      <c r="P382" s="6">
        <f>I382+L382</f>
        <v>-427075</v>
      </c>
    </row>
    <row r="383" spans="1:23">
      <c r="A383" s="5" t="s">
        <v>1166</v>
      </c>
      <c r="B383" s="5" t="s">
        <v>1227</v>
      </c>
      <c r="C383" s="5" t="s">
        <v>1228</v>
      </c>
      <c r="D383" s="5" t="s">
        <v>1403</v>
      </c>
      <c r="G383" s="6">
        <v>2772858</v>
      </c>
      <c r="H383" s="6">
        <f>G383-426162</f>
        <v>2346696</v>
      </c>
      <c r="I383" s="6">
        <f t="shared" si="14"/>
        <v>-426162</v>
      </c>
      <c r="J383" s="6">
        <v>2729982</v>
      </c>
      <c r="K383" s="6">
        <f>J383-430937</f>
        <v>2299045</v>
      </c>
      <c r="L383" s="6">
        <f t="shared" si="15"/>
        <v>-430937</v>
      </c>
      <c r="M383" s="4" t="s">
        <v>1448</v>
      </c>
      <c r="O383" s="6">
        <v>857099</v>
      </c>
      <c r="U383" s="6">
        <f>I383+L383</f>
        <v>-857099</v>
      </c>
    </row>
    <row r="384" spans="1:23">
      <c r="A384" s="5" t="s">
        <v>1166</v>
      </c>
      <c r="B384" s="5" t="s">
        <v>1229</v>
      </c>
      <c r="C384" s="5" t="s">
        <v>1230</v>
      </c>
      <c r="D384" s="5" t="s">
        <v>1231</v>
      </c>
      <c r="G384" s="6">
        <v>3416259</v>
      </c>
      <c r="H384" s="6">
        <v>3416259</v>
      </c>
      <c r="I384" s="6">
        <f t="shared" si="14"/>
        <v>0</v>
      </c>
      <c r="J384" s="6">
        <v>3409041</v>
      </c>
      <c r="K384" s="6">
        <v>3409041</v>
      </c>
      <c r="L384" s="6">
        <f t="shared" si="15"/>
        <v>0</v>
      </c>
      <c r="N384" s="5" t="s">
        <v>1082</v>
      </c>
    </row>
    <row r="385" spans="1:23">
      <c r="A385" s="5" t="s">
        <v>1166</v>
      </c>
      <c r="B385" s="5" t="s">
        <v>1232</v>
      </c>
      <c r="C385" s="5" t="s">
        <v>1233</v>
      </c>
      <c r="D385" s="5" t="s">
        <v>1234</v>
      </c>
      <c r="G385" s="6">
        <v>4946426</v>
      </c>
      <c r="H385" s="6">
        <v>4822490</v>
      </c>
      <c r="I385" s="6">
        <f t="shared" si="14"/>
        <v>-123936</v>
      </c>
      <c r="J385" s="6">
        <v>4936574</v>
      </c>
      <c r="K385" s="6">
        <v>4822696</v>
      </c>
      <c r="L385" s="6">
        <f t="shared" si="15"/>
        <v>-113878</v>
      </c>
      <c r="M385" s="4" t="s">
        <v>129</v>
      </c>
      <c r="R385" s="6"/>
      <c r="W385" s="6">
        <f>I385+L385</f>
        <v>-237814</v>
      </c>
    </row>
    <row r="386" spans="1:23">
      <c r="A386" s="5" t="s">
        <v>1166</v>
      </c>
      <c r="B386" s="5" t="s">
        <v>1235</v>
      </c>
      <c r="C386" s="5" t="s">
        <v>1236</v>
      </c>
      <c r="D386" s="5" t="s">
        <v>1237</v>
      </c>
      <c r="E386" s="6">
        <v>687788</v>
      </c>
      <c r="F386" s="6">
        <v>611182</v>
      </c>
      <c r="G386" s="6">
        <v>724405</v>
      </c>
      <c r="H386" s="6">
        <f>F386*1.06</f>
        <v>647852.92000000004</v>
      </c>
      <c r="I386" s="6">
        <f t="shared" si="14"/>
        <v>-76552.079999999958</v>
      </c>
      <c r="J386" s="6">
        <v>705386</v>
      </c>
      <c r="K386" s="6">
        <f>H386*1.02</f>
        <v>660809.97840000002</v>
      </c>
      <c r="L386" s="6">
        <f t="shared" si="15"/>
        <v>-44576.021599999978</v>
      </c>
      <c r="M386" s="4" t="s">
        <v>1491</v>
      </c>
      <c r="U386" s="6">
        <f>I386+L386</f>
        <v>-121128.10159999994</v>
      </c>
    </row>
    <row r="387" spans="1:23">
      <c r="A387" s="5" t="s">
        <v>1166</v>
      </c>
      <c r="B387" s="5" t="s">
        <v>1238</v>
      </c>
      <c r="C387" s="5" t="s">
        <v>1239</v>
      </c>
      <c r="D387" s="5" t="s">
        <v>1240</v>
      </c>
      <c r="G387" s="6">
        <v>588575</v>
      </c>
      <c r="H387" s="6">
        <v>561526</v>
      </c>
      <c r="I387" s="6">
        <f t="shared" si="14"/>
        <v>-27049</v>
      </c>
      <c r="J387" s="6">
        <v>585700</v>
      </c>
      <c r="K387" s="6">
        <v>553066</v>
      </c>
      <c r="L387" s="6">
        <f t="shared" si="15"/>
        <v>-32634</v>
      </c>
      <c r="M387" s="4" t="s">
        <v>129</v>
      </c>
      <c r="W387" s="6">
        <f>I387+L387</f>
        <v>-59683</v>
      </c>
    </row>
    <row r="388" spans="1:23">
      <c r="A388" s="5" t="s">
        <v>1166</v>
      </c>
      <c r="B388" s="5" t="s">
        <v>1241</v>
      </c>
      <c r="C388" s="5" t="s">
        <v>1242</v>
      </c>
      <c r="D388" s="5" t="s">
        <v>1243</v>
      </c>
      <c r="G388" s="6">
        <v>1217133</v>
      </c>
      <c r="H388" s="6">
        <v>1217133</v>
      </c>
      <c r="I388" s="6">
        <f t="shared" si="14"/>
        <v>0</v>
      </c>
      <c r="J388" s="6">
        <v>1217133</v>
      </c>
      <c r="K388" s="6">
        <v>1217133</v>
      </c>
      <c r="L388" s="6">
        <f t="shared" si="15"/>
        <v>0</v>
      </c>
    </row>
    <row r="389" spans="1:23">
      <c r="A389" s="5" t="s">
        <v>1166</v>
      </c>
      <c r="B389" s="5" t="s">
        <v>1244</v>
      </c>
      <c r="C389" s="5" t="s">
        <v>1245</v>
      </c>
      <c r="D389" s="5" t="s">
        <v>1246</v>
      </c>
      <c r="G389" s="6">
        <v>2461820</v>
      </c>
      <c r="H389" s="6">
        <v>2461820</v>
      </c>
      <c r="I389" s="6">
        <f t="shared" si="14"/>
        <v>0</v>
      </c>
      <c r="J389" s="6">
        <v>2461820</v>
      </c>
      <c r="K389" s="6">
        <v>2461820</v>
      </c>
      <c r="L389" s="6">
        <f t="shared" si="15"/>
        <v>0</v>
      </c>
    </row>
    <row r="390" spans="1:23">
      <c r="A390" s="5" t="s">
        <v>1166</v>
      </c>
      <c r="B390" s="5" t="s">
        <v>1247</v>
      </c>
      <c r="C390" s="5" t="s">
        <v>1248</v>
      </c>
      <c r="D390" s="5" t="s">
        <v>1249</v>
      </c>
      <c r="G390" s="6">
        <v>5000</v>
      </c>
      <c r="H390" s="6">
        <v>5000</v>
      </c>
      <c r="I390" s="6">
        <f t="shared" ref="I390:I446" si="16">H390-G390</f>
        <v>0</v>
      </c>
      <c r="J390" s="6">
        <v>5000</v>
      </c>
      <c r="K390" s="6">
        <v>5000</v>
      </c>
      <c r="L390" s="6">
        <f t="shared" ref="L390:L446" si="17">K390-J390</f>
        <v>0</v>
      </c>
    </row>
    <row r="391" spans="1:23">
      <c r="A391" s="5" t="s">
        <v>1166</v>
      </c>
      <c r="B391" s="5" t="s">
        <v>1250</v>
      </c>
      <c r="C391" s="5" t="s">
        <v>1251</v>
      </c>
      <c r="D391" s="5" t="s">
        <v>1252</v>
      </c>
      <c r="E391" s="6">
        <v>2310222</v>
      </c>
      <c r="F391" s="6">
        <v>2321584</v>
      </c>
      <c r="G391" s="6">
        <v>2787022</v>
      </c>
      <c r="H391" s="6">
        <f>F391*1.06</f>
        <v>2460879.04</v>
      </c>
      <c r="I391" s="6">
        <f t="shared" si="16"/>
        <v>-326142.95999999996</v>
      </c>
      <c r="J391" s="6">
        <v>2677216</v>
      </c>
      <c r="K391" s="6">
        <f>H391*1.02</f>
        <v>2510096.6208000001</v>
      </c>
      <c r="L391" s="6">
        <f t="shared" si="17"/>
        <v>-167119.37919999985</v>
      </c>
      <c r="M391" t="s">
        <v>1491</v>
      </c>
      <c r="P391" s="6">
        <f>I391+L391</f>
        <v>-493262.33919999981</v>
      </c>
    </row>
    <row r="392" spans="1:23">
      <c r="A392" s="5" t="s">
        <v>1254</v>
      </c>
      <c r="B392" s="5" t="s">
        <v>1253</v>
      </c>
      <c r="C392" s="5" t="s">
        <v>1255</v>
      </c>
      <c r="D392" s="5" t="s">
        <v>1256</v>
      </c>
      <c r="E392" s="6">
        <v>8121870</v>
      </c>
      <c r="F392" s="6">
        <v>7393056</v>
      </c>
      <c r="G392" s="6">
        <v>9730025</v>
      </c>
      <c r="H392" s="6">
        <v>8966796</v>
      </c>
      <c r="I392" s="6">
        <f t="shared" si="16"/>
        <v>-763229</v>
      </c>
      <c r="J392" s="6">
        <v>9971348</v>
      </c>
      <c r="K392" s="6">
        <v>9609022</v>
      </c>
      <c r="L392" s="6">
        <f t="shared" si="17"/>
        <v>-362326</v>
      </c>
      <c r="M392" s="4" t="s">
        <v>129</v>
      </c>
      <c r="N392" s="5" t="s">
        <v>1082</v>
      </c>
      <c r="W392" s="6">
        <f>I392+L392</f>
        <v>-1125555</v>
      </c>
    </row>
    <row r="393" spans="1:23">
      <c r="A393" s="5" t="s">
        <v>1254</v>
      </c>
      <c r="B393" s="5" t="s">
        <v>1257</v>
      </c>
      <c r="C393" s="5" t="s">
        <v>1258</v>
      </c>
      <c r="D393" s="5" t="s">
        <v>1259</v>
      </c>
      <c r="E393" s="6">
        <v>3291772</v>
      </c>
      <c r="F393" s="6">
        <v>4224630</v>
      </c>
      <c r="G393" s="6">
        <v>9998397</v>
      </c>
      <c r="H393" s="6">
        <v>9998397</v>
      </c>
      <c r="I393" s="6">
        <f t="shared" si="16"/>
        <v>0</v>
      </c>
      <c r="J393" s="6">
        <v>9645703</v>
      </c>
      <c r="K393" s="6">
        <v>9645703</v>
      </c>
      <c r="L393" s="6">
        <f t="shared" si="17"/>
        <v>0</v>
      </c>
      <c r="N393" s="5" t="s">
        <v>1404</v>
      </c>
    </row>
    <row r="394" spans="1:23">
      <c r="A394" s="5" t="s">
        <v>1254</v>
      </c>
      <c r="B394" s="5" t="s">
        <v>1260</v>
      </c>
      <c r="C394" s="5" t="s">
        <v>1261</v>
      </c>
      <c r="D394" s="5" t="s">
        <v>1262</v>
      </c>
      <c r="G394" s="6">
        <v>33436088</v>
      </c>
      <c r="H394" s="6">
        <v>33436088</v>
      </c>
      <c r="I394" s="6">
        <f t="shared" si="16"/>
        <v>0</v>
      </c>
      <c r="J394" s="6">
        <v>33138635</v>
      </c>
      <c r="K394" s="6">
        <v>33138635</v>
      </c>
      <c r="L394" s="6">
        <f t="shared" si="17"/>
        <v>0</v>
      </c>
    </row>
    <row r="395" spans="1:23">
      <c r="A395" s="5" t="s">
        <v>1254</v>
      </c>
      <c r="B395" s="5" t="s">
        <v>1263</v>
      </c>
      <c r="C395" s="5" t="s">
        <v>1264</v>
      </c>
      <c r="D395" s="5" t="s">
        <v>1265</v>
      </c>
      <c r="G395" s="6">
        <v>31154210</v>
      </c>
      <c r="H395" s="6">
        <v>31154210</v>
      </c>
      <c r="I395" s="6">
        <f t="shared" si="16"/>
        <v>0</v>
      </c>
      <c r="J395" s="6">
        <v>31407126</v>
      </c>
      <c r="K395" s="6">
        <v>31407126</v>
      </c>
      <c r="L395" s="6">
        <f t="shared" si="17"/>
        <v>0</v>
      </c>
    </row>
    <row r="396" spans="1:23">
      <c r="A396" s="5" t="s">
        <v>1266</v>
      </c>
      <c r="B396" s="5" t="s">
        <v>1266</v>
      </c>
      <c r="C396" s="5" t="s">
        <v>1267</v>
      </c>
      <c r="D396" s="5" t="s">
        <v>1268</v>
      </c>
      <c r="G396" s="6">
        <v>17168859</v>
      </c>
      <c r="H396" s="6">
        <v>17168859</v>
      </c>
      <c r="I396" s="6">
        <f t="shared" si="16"/>
        <v>0</v>
      </c>
      <c r="J396" s="6">
        <v>16528859</v>
      </c>
      <c r="K396" s="6">
        <v>16528859</v>
      </c>
      <c r="L396" s="6">
        <f t="shared" si="17"/>
        <v>0</v>
      </c>
    </row>
    <row r="397" spans="1:23">
      <c r="A397" s="5" t="s">
        <v>1269</v>
      </c>
      <c r="B397" s="5" t="s">
        <v>1270</v>
      </c>
      <c r="C397" s="5" t="s">
        <v>1271</v>
      </c>
      <c r="D397" s="5" t="s">
        <v>1272</v>
      </c>
      <c r="E397" s="6">
        <v>1110699</v>
      </c>
      <c r="F397" s="6">
        <v>1066784</v>
      </c>
      <c r="G397" s="6">
        <v>1192881</v>
      </c>
      <c r="H397" s="6">
        <f>F397*1.06</f>
        <v>1130791.04</v>
      </c>
      <c r="I397" s="6">
        <f t="shared" si="16"/>
        <v>-62089.959999999963</v>
      </c>
      <c r="J397" s="6">
        <v>1181847</v>
      </c>
      <c r="K397" s="6">
        <f>H397*1.02</f>
        <v>1153406.8608000001</v>
      </c>
      <c r="L397" s="6">
        <f t="shared" si="17"/>
        <v>-28440.13919999986</v>
      </c>
      <c r="M397" t="s">
        <v>1491</v>
      </c>
      <c r="P397" s="6">
        <f>I397+L397</f>
        <v>-90530.099199999822</v>
      </c>
    </row>
    <row r="398" spans="1:23">
      <c r="A398" s="5" t="s">
        <v>1269</v>
      </c>
      <c r="B398" s="5" t="s">
        <v>1273</v>
      </c>
      <c r="C398" s="5" t="s">
        <v>1274</v>
      </c>
      <c r="D398" s="5" t="s">
        <v>1275</v>
      </c>
      <c r="E398" s="6">
        <v>150169</v>
      </c>
      <c r="F398" s="6">
        <v>148651</v>
      </c>
      <c r="G398" s="6">
        <v>195807</v>
      </c>
      <c r="H398" s="6">
        <f>F398*1.06</f>
        <v>157570.06</v>
      </c>
      <c r="I398" s="6">
        <f t="shared" si="16"/>
        <v>-38236.94</v>
      </c>
      <c r="J398" s="6">
        <v>217784</v>
      </c>
      <c r="K398" s="6">
        <f>H398*1.02</f>
        <v>160721.46119999999</v>
      </c>
      <c r="L398" s="6">
        <f t="shared" si="17"/>
        <v>-57062.538800000009</v>
      </c>
      <c r="M398" t="s">
        <v>1491</v>
      </c>
      <c r="P398" s="6">
        <f>I398+L398</f>
        <v>-95299.478800000012</v>
      </c>
    </row>
    <row r="399" spans="1:23">
      <c r="A399" s="5" t="s">
        <v>1269</v>
      </c>
      <c r="B399" s="5" t="s">
        <v>1276</v>
      </c>
      <c r="C399" s="5" t="s">
        <v>1277</v>
      </c>
      <c r="D399" s="5" t="s">
        <v>1278</v>
      </c>
      <c r="G399" s="6">
        <v>2941706</v>
      </c>
      <c r="H399" s="6">
        <v>2941706</v>
      </c>
      <c r="I399" s="6">
        <f t="shared" si="16"/>
        <v>0</v>
      </c>
      <c r="J399" s="6">
        <v>2866955</v>
      </c>
      <c r="K399" s="6">
        <v>2866955</v>
      </c>
      <c r="L399" s="6">
        <f t="shared" si="17"/>
        <v>0</v>
      </c>
      <c r="N399" s="5" t="s">
        <v>1517</v>
      </c>
    </row>
    <row r="400" spans="1:23">
      <c r="A400" s="5" t="s">
        <v>1269</v>
      </c>
      <c r="B400" s="5" t="s">
        <v>1279</v>
      </c>
      <c r="C400" s="5" t="s">
        <v>1280</v>
      </c>
      <c r="D400" s="5" t="s">
        <v>1281</v>
      </c>
      <c r="E400" s="6">
        <v>0</v>
      </c>
      <c r="F400" s="6">
        <v>0</v>
      </c>
      <c r="G400" s="6">
        <v>542238</v>
      </c>
      <c r="H400" s="6">
        <v>0</v>
      </c>
      <c r="I400" s="6">
        <f t="shared" si="16"/>
        <v>-542238</v>
      </c>
      <c r="J400" s="6">
        <v>590736</v>
      </c>
      <c r="K400" s="6">
        <v>0</v>
      </c>
      <c r="L400" s="6">
        <f t="shared" si="17"/>
        <v>-590736</v>
      </c>
      <c r="M400" t="s">
        <v>1492</v>
      </c>
      <c r="P400" s="6">
        <f>I400+L400</f>
        <v>-1132974</v>
      </c>
    </row>
    <row r="401" spans="1:23">
      <c r="A401" s="5" t="s">
        <v>1269</v>
      </c>
      <c r="B401" s="5" t="s">
        <v>1282</v>
      </c>
      <c r="C401" s="5" t="s">
        <v>1283</v>
      </c>
      <c r="D401" s="5" t="s">
        <v>1284</v>
      </c>
      <c r="E401" s="6">
        <v>10999829</v>
      </c>
      <c r="F401" s="6">
        <v>11166834</v>
      </c>
      <c r="G401" s="6">
        <v>13316471</v>
      </c>
      <c r="H401" s="6">
        <f>F401*1.06</f>
        <v>11836844.040000001</v>
      </c>
      <c r="I401" s="6">
        <f t="shared" si="16"/>
        <v>-1479626.959999999</v>
      </c>
      <c r="J401" s="6">
        <v>13796421</v>
      </c>
      <c r="K401" s="6">
        <f>H401*1.02</f>
        <v>12073580.9208</v>
      </c>
      <c r="L401" s="6">
        <f t="shared" si="17"/>
        <v>-1722840.0791999996</v>
      </c>
      <c r="M401" t="s">
        <v>1491</v>
      </c>
      <c r="P401" s="6">
        <f>I401+L401</f>
        <v>-3202467.0391999986</v>
      </c>
    </row>
    <row r="402" spans="1:23">
      <c r="A402" s="5" t="s">
        <v>1269</v>
      </c>
      <c r="B402" s="5" t="s">
        <v>1285</v>
      </c>
      <c r="C402" s="5" t="s">
        <v>1286</v>
      </c>
      <c r="D402" s="5" t="s">
        <v>1287</v>
      </c>
      <c r="E402" s="6">
        <v>5449456</v>
      </c>
      <c r="F402" s="6">
        <v>5359112</v>
      </c>
      <c r="G402" s="63">
        <v>7773150</v>
      </c>
      <c r="H402" s="6">
        <f>F402*1.06</f>
        <v>5680658.7200000007</v>
      </c>
      <c r="I402" s="6">
        <f t="shared" si="16"/>
        <v>-2092491.2799999993</v>
      </c>
      <c r="J402" s="6">
        <v>7550522</v>
      </c>
      <c r="K402" s="6">
        <f>H402*1.02</f>
        <v>5794271.8944000006</v>
      </c>
      <c r="L402" s="6">
        <f t="shared" si="17"/>
        <v>-1756250.1055999994</v>
      </c>
      <c r="M402" t="s">
        <v>1491</v>
      </c>
      <c r="P402" s="6">
        <f>I402+L402</f>
        <v>-3848741.3855999988</v>
      </c>
    </row>
    <row r="403" spans="1:23">
      <c r="A403" s="5" t="s">
        <v>1269</v>
      </c>
      <c r="B403" s="5" t="s">
        <v>1340</v>
      </c>
      <c r="C403" s="5" t="s">
        <v>1411</v>
      </c>
      <c r="D403" s="5" t="s">
        <v>1359</v>
      </c>
      <c r="E403" s="6">
        <v>6236116</v>
      </c>
      <c r="F403" s="6">
        <v>6185670</v>
      </c>
      <c r="G403" s="6">
        <v>8023128</v>
      </c>
      <c r="H403" s="6">
        <f>F403*1.06</f>
        <v>6556810.2000000002</v>
      </c>
      <c r="I403" s="6">
        <f t="shared" si="16"/>
        <v>-1466317.7999999998</v>
      </c>
      <c r="J403" s="6">
        <v>9524957</v>
      </c>
      <c r="K403" s="6">
        <f>H403*1.02</f>
        <v>6687946.4040000001</v>
      </c>
      <c r="L403" s="6">
        <f t="shared" si="17"/>
        <v>-2837010.5959999999</v>
      </c>
      <c r="M403" t="s">
        <v>1491</v>
      </c>
      <c r="P403" s="6">
        <f>I403+L403</f>
        <v>-4303328.3959999997</v>
      </c>
    </row>
    <row r="404" spans="1:23">
      <c r="A404" s="5" t="s">
        <v>1269</v>
      </c>
      <c r="B404" s="5" t="s">
        <v>1341</v>
      </c>
      <c r="C404" s="5" t="s">
        <v>1410</v>
      </c>
      <c r="D404" s="5" t="s">
        <v>1360</v>
      </c>
      <c r="G404" s="6">
        <v>18237183</v>
      </c>
      <c r="H404" s="6">
        <v>18237183</v>
      </c>
      <c r="I404" s="6">
        <f t="shared" si="16"/>
        <v>0</v>
      </c>
      <c r="J404" s="6">
        <v>8319155</v>
      </c>
      <c r="K404" s="6">
        <v>8319155</v>
      </c>
      <c r="L404" s="6">
        <f t="shared" si="17"/>
        <v>0</v>
      </c>
    </row>
    <row r="405" spans="1:23">
      <c r="A405" s="5" t="s">
        <v>1269</v>
      </c>
      <c r="B405" s="5" t="s">
        <v>1342</v>
      </c>
      <c r="C405" s="5" t="s">
        <v>1409</v>
      </c>
      <c r="D405" s="5" t="s">
        <v>1407</v>
      </c>
      <c r="E405" s="6">
        <v>7674283</v>
      </c>
      <c r="F405" s="6">
        <v>7704405</v>
      </c>
      <c r="G405" s="6">
        <v>8777502</v>
      </c>
      <c r="H405" s="6">
        <f>F405*1.06</f>
        <v>8166669.3000000007</v>
      </c>
      <c r="I405" s="6">
        <f t="shared" si="16"/>
        <v>-610832.69999999925</v>
      </c>
      <c r="J405" s="6">
        <v>10453044</v>
      </c>
      <c r="K405" s="6">
        <f>H405*1.02</f>
        <v>8330002.6860000007</v>
      </c>
      <c r="L405" s="6">
        <f t="shared" si="17"/>
        <v>-2123041.3139999993</v>
      </c>
      <c r="M405" t="s">
        <v>1491</v>
      </c>
      <c r="P405" s="6">
        <f>I405+L405</f>
        <v>-2733874.0139999986</v>
      </c>
    </row>
    <row r="406" spans="1:23">
      <c r="A406" s="5" t="s">
        <v>1269</v>
      </c>
      <c r="B406" s="5" t="s">
        <v>1343</v>
      </c>
      <c r="C406" s="5" t="s">
        <v>1412</v>
      </c>
      <c r="D406" s="5" t="s">
        <v>1361</v>
      </c>
      <c r="G406" s="6">
        <v>0</v>
      </c>
      <c r="H406" s="6">
        <v>0</v>
      </c>
      <c r="I406" s="6">
        <f t="shared" si="16"/>
        <v>0</v>
      </c>
      <c r="J406" s="6">
        <v>0</v>
      </c>
      <c r="K406" s="6">
        <v>0</v>
      </c>
      <c r="L406" s="6">
        <f t="shared" si="17"/>
        <v>0</v>
      </c>
    </row>
    <row r="407" spans="1:23">
      <c r="A407" s="5" t="s">
        <v>1269</v>
      </c>
      <c r="B407" s="5" t="s">
        <v>1344</v>
      </c>
      <c r="C407" s="5" t="s">
        <v>1413</v>
      </c>
      <c r="D407" s="5" t="s">
        <v>1362</v>
      </c>
      <c r="G407" s="6">
        <v>4047300</v>
      </c>
      <c r="H407" s="6">
        <v>4047112</v>
      </c>
      <c r="I407" s="6">
        <f t="shared" si="16"/>
        <v>-188</v>
      </c>
      <c r="J407" s="6">
        <v>4533373</v>
      </c>
      <c r="K407" s="6">
        <v>4530241</v>
      </c>
      <c r="L407" s="6">
        <f t="shared" si="17"/>
        <v>-3132</v>
      </c>
      <c r="M407" t="s">
        <v>1085</v>
      </c>
      <c r="R407" s="6">
        <f>I407+L407</f>
        <v>-3320</v>
      </c>
    </row>
    <row r="408" spans="1:23">
      <c r="A408" s="5" t="s">
        <v>1269</v>
      </c>
      <c r="B408" s="5" t="s">
        <v>1345</v>
      </c>
      <c r="C408" s="5" t="s">
        <v>1414</v>
      </c>
      <c r="D408" s="5" t="s">
        <v>1363</v>
      </c>
      <c r="G408" s="6">
        <v>1169180</v>
      </c>
      <c r="H408" s="6">
        <v>1169180</v>
      </c>
      <c r="I408" s="6">
        <f t="shared" si="16"/>
        <v>0</v>
      </c>
      <c r="J408" s="6">
        <v>1187404</v>
      </c>
      <c r="K408" s="6">
        <v>1186906</v>
      </c>
      <c r="L408" s="6">
        <f t="shared" si="17"/>
        <v>-498</v>
      </c>
      <c r="M408" s="4" t="s">
        <v>1085</v>
      </c>
      <c r="W408" s="6">
        <f>I408+L408</f>
        <v>-498</v>
      </c>
    </row>
    <row r="409" spans="1:23">
      <c r="A409" s="5" t="s">
        <v>1269</v>
      </c>
      <c r="B409" s="5" t="s">
        <v>1346</v>
      </c>
      <c r="C409" s="5" t="s">
        <v>1415</v>
      </c>
      <c r="D409" s="5" t="s">
        <v>1408</v>
      </c>
      <c r="G409" s="6">
        <v>1959940</v>
      </c>
      <c r="H409" s="6">
        <v>1959940</v>
      </c>
      <c r="I409" s="6">
        <f t="shared" si="16"/>
        <v>0</v>
      </c>
      <c r="J409" s="6">
        <v>2037114</v>
      </c>
      <c r="K409" s="6">
        <v>1958650</v>
      </c>
      <c r="L409" s="6">
        <f t="shared" si="17"/>
        <v>-78464</v>
      </c>
      <c r="M409" t="s">
        <v>1085</v>
      </c>
      <c r="R409" s="6">
        <f>I409+L409</f>
        <v>-78464</v>
      </c>
    </row>
    <row r="410" spans="1:23">
      <c r="A410" s="5" t="s">
        <v>1269</v>
      </c>
      <c r="B410" s="5" t="s">
        <v>1347</v>
      </c>
      <c r="C410" s="5" t="s">
        <v>1416</v>
      </c>
      <c r="D410" s="5" t="s">
        <v>1364</v>
      </c>
      <c r="G410" s="6">
        <v>1319</v>
      </c>
      <c r="H410" s="6">
        <v>1319</v>
      </c>
      <c r="I410" s="6">
        <f t="shared" si="16"/>
        <v>0</v>
      </c>
      <c r="J410" s="6">
        <v>1319</v>
      </c>
      <c r="K410" s="6">
        <v>1319</v>
      </c>
      <c r="L410" s="6">
        <f t="shared" si="17"/>
        <v>0</v>
      </c>
      <c r="M410" s="5"/>
    </row>
    <row r="411" spans="1:23">
      <c r="A411" s="5" t="s">
        <v>1269</v>
      </c>
      <c r="B411" s="5" t="s">
        <v>1348</v>
      </c>
      <c r="C411" s="5" t="s">
        <v>1417</v>
      </c>
      <c r="D411" s="5" t="s">
        <v>1365</v>
      </c>
      <c r="E411" s="6">
        <v>731066</v>
      </c>
      <c r="F411" s="6">
        <v>742970</v>
      </c>
      <c r="G411" s="6">
        <v>960414</v>
      </c>
      <c r="H411" s="6">
        <f>F411*1.06</f>
        <v>787548.20000000007</v>
      </c>
      <c r="I411" s="6">
        <f t="shared" si="16"/>
        <v>-172865.79999999993</v>
      </c>
      <c r="J411" s="6">
        <v>807454</v>
      </c>
      <c r="K411" s="6">
        <f>H411*1.02</f>
        <v>803299.16400000011</v>
      </c>
      <c r="L411" s="6">
        <f t="shared" si="17"/>
        <v>-4154.8359999998938</v>
      </c>
      <c r="M411" s="4" t="s">
        <v>1491</v>
      </c>
      <c r="U411" s="6">
        <f>I411+L411</f>
        <v>-177020.63599999982</v>
      </c>
    </row>
    <row r="412" spans="1:23">
      <c r="A412" s="5" t="s">
        <v>1269</v>
      </c>
      <c r="B412" s="5" t="s">
        <v>1349</v>
      </c>
      <c r="C412" s="5" t="s">
        <v>1418</v>
      </c>
      <c r="D412" s="5" t="s">
        <v>1366</v>
      </c>
      <c r="E412" s="6">
        <v>31800</v>
      </c>
      <c r="F412" s="6">
        <v>31800</v>
      </c>
      <c r="G412" s="6">
        <v>176409</v>
      </c>
      <c r="H412" s="6">
        <v>176409</v>
      </c>
      <c r="I412" s="6">
        <f t="shared" si="16"/>
        <v>0</v>
      </c>
      <c r="J412" s="6">
        <v>176409</v>
      </c>
      <c r="K412" s="6">
        <v>176409</v>
      </c>
      <c r="L412" s="6">
        <f t="shared" si="17"/>
        <v>0</v>
      </c>
      <c r="M412" s="5"/>
      <c r="N412" s="5" t="s">
        <v>1430</v>
      </c>
    </row>
    <row r="413" spans="1:23">
      <c r="A413" s="5" t="s">
        <v>1269</v>
      </c>
      <c r="B413" s="5" t="s">
        <v>1350</v>
      </c>
      <c r="C413" s="5" t="s">
        <v>1419</v>
      </c>
      <c r="D413" s="5" t="s">
        <v>1367</v>
      </c>
      <c r="E413" s="6">
        <v>6178779</v>
      </c>
      <c r="F413" s="6">
        <v>6217123</v>
      </c>
      <c r="G413" s="6">
        <v>8215465</v>
      </c>
      <c r="H413" s="6">
        <f>F413*1.06</f>
        <v>6590150.3799999999</v>
      </c>
      <c r="I413" s="6">
        <f t="shared" si="16"/>
        <v>-1625314.62</v>
      </c>
      <c r="J413" s="6">
        <v>7818473</v>
      </c>
      <c r="K413" s="6">
        <f>H413*1.02</f>
        <v>6721953.3876</v>
      </c>
      <c r="L413" s="6">
        <f t="shared" si="17"/>
        <v>-1096519.6124</v>
      </c>
      <c r="M413" s="4" t="s">
        <v>1491</v>
      </c>
      <c r="U413" s="6">
        <f>I413+L413</f>
        <v>-2721834.2324000001</v>
      </c>
    </row>
    <row r="414" spans="1:23">
      <c r="A414" s="5" t="s">
        <v>1269</v>
      </c>
      <c r="B414" s="5" t="s">
        <v>1351</v>
      </c>
      <c r="C414" s="5" t="s">
        <v>1420</v>
      </c>
      <c r="D414" s="5" t="s">
        <v>1368</v>
      </c>
      <c r="E414" s="6">
        <v>7934477</v>
      </c>
      <c r="F414" s="6">
        <v>7999337</v>
      </c>
      <c r="G414" s="6">
        <v>8618785</v>
      </c>
      <c r="H414" s="6">
        <f>F414*1.06</f>
        <v>8479297.2200000007</v>
      </c>
      <c r="I414" s="6">
        <f t="shared" si="16"/>
        <v>-139487.77999999933</v>
      </c>
      <c r="J414" s="6">
        <v>8215203</v>
      </c>
      <c r="K414" s="6">
        <v>8188944</v>
      </c>
      <c r="L414" s="6">
        <f t="shared" si="17"/>
        <v>-26259</v>
      </c>
      <c r="M414" s="4" t="s">
        <v>1574</v>
      </c>
      <c r="U414" s="6">
        <f>I414</f>
        <v>-139487.77999999933</v>
      </c>
      <c r="W414" s="6">
        <f>L414</f>
        <v>-26259</v>
      </c>
    </row>
    <row r="415" spans="1:23">
      <c r="A415" s="5" t="s">
        <v>1269</v>
      </c>
      <c r="B415" s="5" t="s">
        <v>1352</v>
      </c>
      <c r="C415" s="5" t="s">
        <v>1421</v>
      </c>
      <c r="D415" s="5" t="s">
        <v>1369</v>
      </c>
      <c r="E415" s="6">
        <v>5306516</v>
      </c>
      <c r="F415" s="6">
        <v>5442709</v>
      </c>
      <c r="G415" s="6">
        <v>7456986</v>
      </c>
      <c r="H415" s="6">
        <f>F415*1.06</f>
        <v>5769271.54</v>
      </c>
      <c r="I415" s="6">
        <f t="shared" si="16"/>
        <v>-1687714.46</v>
      </c>
      <c r="J415" s="6">
        <v>7276518</v>
      </c>
      <c r="K415" s="6">
        <f>H415*1.02</f>
        <v>5884656.9708000002</v>
      </c>
      <c r="L415" s="6">
        <f t="shared" si="17"/>
        <v>-1391861.0291999998</v>
      </c>
      <c r="M415" s="4" t="s">
        <v>1493</v>
      </c>
      <c r="O415" s="6">
        <v>1391861</v>
      </c>
      <c r="U415" s="6">
        <f>I415+L415</f>
        <v>-3079575.4891999997</v>
      </c>
    </row>
    <row r="416" spans="1:23">
      <c r="A416" s="5" t="s">
        <v>1269</v>
      </c>
      <c r="B416" s="5" t="s">
        <v>1353</v>
      </c>
      <c r="C416" s="5" t="s">
        <v>1422</v>
      </c>
      <c r="D416" s="5" t="s">
        <v>1370</v>
      </c>
      <c r="G416" s="6">
        <v>16260578</v>
      </c>
      <c r="H416" s="6">
        <v>16260578</v>
      </c>
      <c r="I416" s="6">
        <f t="shared" si="16"/>
        <v>0</v>
      </c>
      <c r="J416" s="6">
        <v>16189961</v>
      </c>
      <c r="K416" s="6">
        <v>16189961</v>
      </c>
      <c r="L416" s="6">
        <f t="shared" si="17"/>
        <v>0</v>
      </c>
      <c r="M416" s="5"/>
    </row>
    <row r="417" spans="1:23">
      <c r="A417" s="5" t="s">
        <v>1269</v>
      </c>
      <c r="B417" s="5" t="s">
        <v>1354</v>
      </c>
      <c r="C417" s="5" t="s">
        <v>1423</v>
      </c>
      <c r="D417" s="5" t="s">
        <v>1371</v>
      </c>
      <c r="E417" s="6">
        <v>5015829</v>
      </c>
      <c r="F417" s="6">
        <v>5027754</v>
      </c>
      <c r="G417" s="6">
        <v>8051633</v>
      </c>
      <c r="H417" s="6">
        <f>F417*1.06</f>
        <v>5329419.24</v>
      </c>
      <c r="I417" s="6">
        <f t="shared" si="16"/>
        <v>-2722213.76</v>
      </c>
      <c r="J417" s="6">
        <v>8818451</v>
      </c>
      <c r="K417" s="6">
        <f>H417*1.02</f>
        <v>5436007.6248000003</v>
      </c>
      <c r="L417" s="6">
        <f t="shared" si="17"/>
        <v>-3382443.3751999997</v>
      </c>
      <c r="M417" s="4" t="s">
        <v>1493</v>
      </c>
      <c r="O417" s="6">
        <v>2722714</v>
      </c>
      <c r="U417" s="6">
        <f>I417+L417</f>
        <v>-6104657.1351999994</v>
      </c>
    </row>
    <row r="418" spans="1:23">
      <c r="A418" s="5" t="s">
        <v>1269</v>
      </c>
      <c r="B418" s="5" t="s">
        <v>1355</v>
      </c>
      <c r="C418" s="5" t="s">
        <v>1424</v>
      </c>
      <c r="D418" s="5" t="s">
        <v>1372</v>
      </c>
      <c r="E418" s="6">
        <v>3476615</v>
      </c>
      <c r="F418" s="6">
        <v>3578311</v>
      </c>
      <c r="G418" s="6">
        <v>3709989</v>
      </c>
      <c r="H418" s="6">
        <v>3709989</v>
      </c>
      <c r="I418" s="6">
        <f t="shared" si="16"/>
        <v>0</v>
      </c>
      <c r="J418" s="6">
        <v>3951862</v>
      </c>
      <c r="K418" s="6">
        <v>3951862</v>
      </c>
      <c r="L418" s="6">
        <f t="shared" si="17"/>
        <v>0</v>
      </c>
      <c r="M418" s="52"/>
    </row>
    <row r="419" spans="1:23">
      <c r="A419" s="5" t="s">
        <v>1269</v>
      </c>
      <c r="B419" s="5" t="s">
        <v>1356</v>
      </c>
      <c r="C419" s="5" t="s">
        <v>1425</v>
      </c>
      <c r="D419" s="5" t="s">
        <v>1373</v>
      </c>
      <c r="G419" s="6">
        <v>3509834</v>
      </c>
      <c r="H419" s="6">
        <v>3475079</v>
      </c>
      <c r="I419" s="6">
        <f t="shared" si="16"/>
        <v>-34755</v>
      </c>
      <c r="J419" s="6">
        <v>3547564</v>
      </c>
      <c r="K419" s="6">
        <v>3517341</v>
      </c>
      <c r="L419" s="6">
        <f t="shared" si="17"/>
        <v>-30223</v>
      </c>
      <c r="M419" s="4" t="s">
        <v>1085</v>
      </c>
      <c r="O419" s="6">
        <v>30000</v>
      </c>
      <c r="W419" s="6">
        <f>I419+L419</f>
        <v>-64978</v>
      </c>
    </row>
    <row r="420" spans="1:23">
      <c r="A420" s="5" t="s">
        <v>1269</v>
      </c>
      <c r="B420" s="5" t="s">
        <v>1357</v>
      </c>
      <c r="C420" s="5" t="s">
        <v>1426</v>
      </c>
      <c r="D420" s="5" t="s">
        <v>1374</v>
      </c>
      <c r="G420" s="6">
        <v>4941276</v>
      </c>
      <c r="H420" s="6">
        <v>4862593</v>
      </c>
      <c r="I420" s="6">
        <f t="shared" si="16"/>
        <v>-78683</v>
      </c>
      <c r="J420" s="6">
        <v>4891115</v>
      </c>
      <c r="K420" s="6">
        <v>4738958</v>
      </c>
      <c r="L420" s="6">
        <f t="shared" si="17"/>
        <v>-152157</v>
      </c>
      <c r="M420" s="4" t="s">
        <v>1085</v>
      </c>
      <c r="O420" s="6">
        <v>70361</v>
      </c>
      <c r="W420" s="6">
        <f>I420+L420</f>
        <v>-230840</v>
      </c>
    </row>
    <row r="421" spans="1:23">
      <c r="A421" s="5" t="s">
        <v>1269</v>
      </c>
      <c r="B421" s="5" t="s">
        <v>1358</v>
      </c>
      <c r="C421" s="5" t="s">
        <v>1427</v>
      </c>
      <c r="D421" s="5" t="s">
        <v>1375</v>
      </c>
      <c r="G421" s="6">
        <v>125102</v>
      </c>
      <c r="H421" s="6">
        <v>125102</v>
      </c>
      <c r="I421" s="6">
        <f t="shared" si="16"/>
        <v>0</v>
      </c>
      <c r="J421" s="6">
        <v>129011</v>
      </c>
      <c r="K421" s="6">
        <v>128923</v>
      </c>
      <c r="L421" s="6">
        <f t="shared" si="17"/>
        <v>-88</v>
      </c>
      <c r="M421" s="4" t="s">
        <v>1085</v>
      </c>
      <c r="W421" s="6">
        <f>I421+L421</f>
        <v>-88</v>
      </c>
    </row>
    <row r="422" spans="1:23">
      <c r="A422" s="5" t="s">
        <v>1288</v>
      </c>
      <c r="B422" s="5" t="s">
        <v>1289</v>
      </c>
      <c r="C422" s="5" t="s">
        <v>1290</v>
      </c>
      <c r="D422" s="5" t="s">
        <v>1376</v>
      </c>
      <c r="G422" s="6">
        <v>4088582</v>
      </c>
      <c r="H422" s="6">
        <v>4088582</v>
      </c>
      <c r="I422" s="6">
        <f t="shared" si="16"/>
        <v>0</v>
      </c>
      <c r="J422" s="6">
        <v>4141812</v>
      </c>
      <c r="K422" s="6">
        <v>4141812</v>
      </c>
      <c r="L422" s="6">
        <f t="shared" si="17"/>
        <v>0</v>
      </c>
      <c r="M422" s="5"/>
      <c r="U422" s="6"/>
    </row>
    <row r="423" spans="1:23">
      <c r="A423" s="5" t="s">
        <v>1288</v>
      </c>
      <c r="B423" s="5" t="s">
        <v>1291</v>
      </c>
      <c r="C423" s="5" t="s">
        <v>1292</v>
      </c>
      <c r="D423" s="5" t="s">
        <v>1377</v>
      </c>
      <c r="G423" s="6">
        <v>8339309</v>
      </c>
      <c r="H423" s="6">
        <v>8339309</v>
      </c>
      <c r="I423" s="6">
        <f t="shared" si="16"/>
        <v>0</v>
      </c>
      <c r="J423" s="6">
        <v>7859354</v>
      </c>
      <c r="K423" s="6">
        <v>7859354</v>
      </c>
      <c r="L423" s="6">
        <f t="shared" si="17"/>
        <v>0</v>
      </c>
      <c r="M423" s="5"/>
      <c r="U423" s="6"/>
    </row>
    <row r="424" spans="1:23">
      <c r="A424" s="5" t="s">
        <v>1288</v>
      </c>
      <c r="B424" s="5" t="s">
        <v>1293</v>
      </c>
      <c r="C424" s="5" t="s">
        <v>1294</v>
      </c>
      <c r="D424" s="5" t="s">
        <v>1378</v>
      </c>
      <c r="E424" s="6">
        <v>2145121</v>
      </c>
      <c r="F424" s="6">
        <v>2243941</v>
      </c>
      <c r="G424" s="6">
        <v>2500986</v>
      </c>
      <c r="H424" s="6">
        <f>F424*1.06</f>
        <v>2378577.46</v>
      </c>
      <c r="I424" s="6">
        <f t="shared" si="16"/>
        <v>-122408.54000000004</v>
      </c>
      <c r="J424" s="6">
        <v>2457859</v>
      </c>
      <c r="K424" s="6">
        <f>H424*1.02</f>
        <v>2426149.0092000002</v>
      </c>
      <c r="L424" s="6">
        <f t="shared" si="17"/>
        <v>-31709.990799999796</v>
      </c>
      <c r="M424" s="5" t="s">
        <v>1444</v>
      </c>
      <c r="P424" s="6">
        <f>I424+L424+26320</f>
        <v>-127798.53079999983</v>
      </c>
      <c r="U424" s="6">
        <v>-26320</v>
      </c>
    </row>
    <row r="425" spans="1:23">
      <c r="A425" s="5" t="s">
        <v>1288</v>
      </c>
      <c r="B425" s="5" t="s">
        <v>1295</v>
      </c>
      <c r="C425" s="5" t="s">
        <v>1296</v>
      </c>
      <c r="D425" s="5" t="s">
        <v>1379</v>
      </c>
      <c r="G425" s="6">
        <v>7146081</v>
      </c>
      <c r="H425" s="6">
        <v>7146081</v>
      </c>
      <c r="I425" s="6">
        <f>H425-G425</f>
        <v>0</v>
      </c>
      <c r="J425" s="6">
        <v>7276013</v>
      </c>
      <c r="K425" s="6">
        <v>7276013</v>
      </c>
      <c r="L425" s="6">
        <f t="shared" si="17"/>
        <v>0</v>
      </c>
      <c r="M425" s="5"/>
      <c r="U425" s="6"/>
    </row>
    <row r="426" spans="1:23">
      <c r="A426" s="5" t="s">
        <v>1288</v>
      </c>
      <c r="B426" s="5" t="s">
        <v>1297</v>
      </c>
      <c r="C426" s="5" t="s">
        <v>1298</v>
      </c>
      <c r="D426" s="5" t="s">
        <v>1380</v>
      </c>
      <c r="E426" s="6">
        <v>4197227</v>
      </c>
      <c r="F426" s="6">
        <v>4241006</v>
      </c>
      <c r="G426" s="6">
        <v>6334237</v>
      </c>
      <c r="H426" s="6">
        <v>6334237</v>
      </c>
      <c r="I426" s="6">
        <f>H426-G426</f>
        <v>0</v>
      </c>
      <c r="J426" s="6">
        <v>6242554</v>
      </c>
      <c r="K426" s="6">
        <v>6242554</v>
      </c>
      <c r="L426" s="6">
        <f t="shared" si="17"/>
        <v>0</v>
      </c>
      <c r="M426" s="5"/>
      <c r="U426" s="6"/>
    </row>
    <row r="427" spans="1:23">
      <c r="A427" s="5" t="s">
        <v>1288</v>
      </c>
      <c r="B427" s="5" t="s">
        <v>1299</v>
      </c>
      <c r="C427" s="5" t="s">
        <v>1300</v>
      </c>
      <c r="D427" s="5" t="s">
        <v>1381</v>
      </c>
      <c r="G427" s="6">
        <v>7082704</v>
      </c>
      <c r="H427" s="6">
        <v>7082704</v>
      </c>
      <c r="I427" s="6">
        <f t="shared" si="16"/>
        <v>0</v>
      </c>
      <c r="J427" s="6">
        <v>7020980</v>
      </c>
      <c r="K427" s="6">
        <v>7020980</v>
      </c>
      <c r="L427" s="6">
        <f t="shared" si="17"/>
        <v>0</v>
      </c>
      <c r="M427" s="5"/>
    </row>
    <row r="428" spans="1:23">
      <c r="A428" s="5" t="s">
        <v>1288</v>
      </c>
      <c r="B428" s="5" t="s">
        <v>1301</v>
      </c>
      <c r="C428" s="5" t="s">
        <v>1302</v>
      </c>
      <c r="D428" s="5" t="s">
        <v>1382</v>
      </c>
      <c r="E428" s="6">
        <v>2121435</v>
      </c>
      <c r="F428" s="6">
        <v>1990263</v>
      </c>
      <c r="G428" s="6">
        <v>2104426</v>
      </c>
      <c r="H428" s="6">
        <v>2104426</v>
      </c>
      <c r="I428" s="6">
        <f t="shared" si="16"/>
        <v>0</v>
      </c>
      <c r="J428" s="6">
        <v>2073312</v>
      </c>
      <c r="K428" s="6">
        <v>2073312</v>
      </c>
      <c r="L428" s="6">
        <f t="shared" si="17"/>
        <v>0</v>
      </c>
      <c r="M428" s="5"/>
    </row>
    <row r="429" spans="1:23">
      <c r="A429" s="5" t="s">
        <v>1288</v>
      </c>
      <c r="B429" s="5" t="s">
        <v>1303</v>
      </c>
      <c r="C429" s="5" t="s">
        <v>1304</v>
      </c>
      <c r="D429" s="5" t="s">
        <v>1383</v>
      </c>
      <c r="E429" s="6">
        <v>5079764</v>
      </c>
      <c r="F429" s="6">
        <v>4703871</v>
      </c>
      <c r="G429" s="6">
        <v>5923563</v>
      </c>
      <c r="H429" s="6">
        <v>5923563</v>
      </c>
      <c r="I429" s="6">
        <f t="shared" si="16"/>
        <v>0</v>
      </c>
      <c r="J429" s="6">
        <v>6071401</v>
      </c>
      <c r="K429" s="6">
        <v>6071401</v>
      </c>
      <c r="L429" s="6">
        <f t="shared" si="17"/>
        <v>0</v>
      </c>
      <c r="M429" s="5"/>
      <c r="U429" s="6"/>
    </row>
    <row r="430" spans="1:23">
      <c r="A430" s="5" t="s">
        <v>1305</v>
      </c>
      <c r="B430" s="5" t="s">
        <v>1306</v>
      </c>
      <c r="C430" s="5" t="s">
        <v>1307</v>
      </c>
      <c r="D430" s="5" t="s">
        <v>1384</v>
      </c>
      <c r="G430" s="6">
        <v>100000000</v>
      </c>
      <c r="H430" s="6">
        <v>100000000</v>
      </c>
      <c r="I430" s="6">
        <f t="shared" si="16"/>
        <v>0</v>
      </c>
      <c r="J430" s="6">
        <v>150000000</v>
      </c>
      <c r="K430" s="6">
        <v>150000000</v>
      </c>
      <c r="L430" s="6">
        <f t="shared" si="17"/>
        <v>0</v>
      </c>
      <c r="M430" s="5"/>
    </row>
    <row r="431" spans="1:23">
      <c r="A431" s="5" t="s">
        <v>1305</v>
      </c>
      <c r="B431" s="5" t="s">
        <v>1308</v>
      </c>
      <c r="C431" s="5" t="s">
        <v>1309</v>
      </c>
      <c r="D431" s="5" t="s">
        <v>1385</v>
      </c>
      <c r="G431" s="6">
        <v>648678159</v>
      </c>
      <c r="H431" s="6">
        <f>G431-135259177+(130074329*1.02)</f>
        <v>646094797.58000004</v>
      </c>
      <c r="I431" s="6">
        <f t="shared" si="16"/>
        <v>-2583361.4199999571</v>
      </c>
      <c r="J431" s="6">
        <v>650735563</v>
      </c>
      <c r="K431" s="6">
        <f>J431-137262453+(130074329*1.0404)</f>
        <v>648802441.89160001</v>
      </c>
      <c r="L431" s="6">
        <f t="shared" si="17"/>
        <v>-1933121.1083999872</v>
      </c>
      <c r="M431" s="4" t="s">
        <v>1450</v>
      </c>
      <c r="U431" s="6">
        <f>I431+L431</f>
        <v>-4516482.5283999443</v>
      </c>
    </row>
    <row r="432" spans="1:23">
      <c r="A432" s="5" t="s">
        <v>1310</v>
      </c>
      <c r="B432" s="5" t="s">
        <v>1311</v>
      </c>
      <c r="C432" s="5" t="s">
        <v>1312</v>
      </c>
      <c r="D432" s="5" t="s">
        <v>1386</v>
      </c>
      <c r="G432" s="6">
        <v>10949444</v>
      </c>
      <c r="H432" s="6">
        <f>G432-5534930+4838925*1.02</f>
        <v>10350217.5</v>
      </c>
      <c r="I432" s="6">
        <f t="shared" si="16"/>
        <v>-599226.5</v>
      </c>
      <c r="J432" s="6">
        <v>11183323</v>
      </c>
      <c r="K432" s="6">
        <f>J432-5608265+((4838925*1.02)*1.02)</f>
        <v>10609475.57</v>
      </c>
      <c r="L432" s="6">
        <f t="shared" si="17"/>
        <v>-573847.4299999997</v>
      </c>
      <c r="M432" s="4" t="s">
        <v>1451</v>
      </c>
      <c r="U432" s="6">
        <f>I432+L432</f>
        <v>-1173073.9299999997</v>
      </c>
    </row>
    <row r="433" spans="1:25">
      <c r="A433" s="5" t="s">
        <v>1313</v>
      </c>
      <c r="B433" s="5" t="s">
        <v>1314</v>
      </c>
      <c r="C433" s="5" t="s">
        <v>1315</v>
      </c>
      <c r="D433" s="5" t="s">
        <v>1387</v>
      </c>
      <c r="G433" s="6">
        <v>489439310</v>
      </c>
      <c r="H433" s="6">
        <v>489439310</v>
      </c>
      <c r="I433" s="6">
        <f t="shared" si="16"/>
        <v>0</v>
      </c>
      <c r="J433" s="6">
        <v>461132853</v>
      </c>
      <c r="K433" s="6">
        <v>461132853</v>
      </c>
      <c r="L433" s="6">
        <f t="shared" si="17"/>
        <v>0</v>
      </c>
      <c r="N433" s="5" t="s">
        <v>1431</v>
      </c>
    </row>
    <row r="434" spans="1:25">
      <c r="A434" s="5" t="s">
        <v>1313</v>
      </c>
      <c r="B434" s="5" t="s">
        <v>1316</v>
      </c>
      <c r="C434" s="5" t="s">
        <v>1317</v>
      </c>
      <c r="D434" s="5" t="s">
        <v>1388</v>
      </c>
      <c r="G434" s="6">
        <v>35067190</v>
      </c>
      <c r="H434" s="6">
        <v>35067190</v>
      </c>
      <c r="I434" s="6">
        <f t="shared" si="16"/>
        <v>0</v>
      </c>
      <c r="J434" s="6">
        <v>36173086</v>
      </c>
      <c r="K434" s="6">
        <v>36173086</v>
      </c>
      <c r="L434" s="6">
        <f t="shared" si="17"/>
        <v>0</v>
      </c>
      <c r="N434" s="5" t="s">
        <v>1431</v>
      </c>
    </row>
    <row r="435" spans="1:25">
      <c r="A435" s="5" t="s">
        <v>1313</v>
      </c>
      <c r="B435" s="5" t="s">
        <v>1318</v>
      </c>
      <c r="C435" s="5" t="s">
        <v>1319</v>
      </c>
      <c r="D435" s="5" t="s">
        <v>1389</v>
      </c>
      <c r="G435" s="6">
        <v>207473907</v>
      </c>
      <c r="H435" s="6">
        <v>207473907</v>
      </c>
      <c r="I435" s="6">
        <f t="shared" si="16"/>
        <v>0</v>
      </c>
      <c r="J435" s="6">
        <v>200097888</v>
      </c>
      <c r="K435" s="6">
        <v>200011727</v>
      </c>
      <c r="L435" s="6">
        <f t="shared" si="17"/>
        <v>-86161</v>
      </c>
      <c r="M435" s="4" t="s">
        <v>129</v>
      </c>
      <c r="W435" s="6">
        <f>I435+L435</f>
        <v>-86161</v>
      </c>
    </row>
    <row r="436" spans="1:25">
      <c r="A436" s="5" t="s">
        <v>1320</v>
      </c>
      <c r="B436" s="5" t="s">
        <v>1321</v>
      </c>
      <c r="C436" s="5" t="s">
        <v>1322</v>
      </c>
      <c r="D436" s="5" t="s">
        <v>1390</v>
      </c>
      <c r="G436" s="6">
        <v>384396</v>
      </c>
      <c r="H436" s="6">
        <v>384396</v>
      </c>
      <c r="I436" s="6">
        <f t="shared" si="16"/>
        <v>0</v>
      </c>
      <c r="J436" s="6">
        <v>361732</v>
      </c>
      <c r="K436" s="6">
        <v>361732</v>
      </c>
      <c r="L436" s="6">
        <f t="shared" si="17"/>
        <v>0</v>
      </c>
    </row>
    <row r="437" spans="1:25">
      <c r="A437" s="5" t="s">
        <v>1434</v>
      </c>
      <c r="B437" s="5" t="s">
        <v>1323</v>
      </c>
      <c r="C437" s="5" t="s">
        <v>1324</v>
      </c>
      <c r="D437" s="5" t="s">
        <v>1391</v>
      </c>
      <c r="G437" s="6">
        <v>26365239</v>
      </c>
      <c r="H437" s="6">
        <f>G437-3941731+2545529*1.02</f>
        <v>25019947.579999998</v>
      </c>
      <c r="I437" s="6">
        <f t="shared" si="16"/>
        <v>-1345291.4200000018</v>
      </c>
      <c r="J437" s="6">
        <v>23699193</v>
      </c>
      <c r="K437" s="6">
        <f>J437-4019534+(2545529*1.0404)</f>
        <v>22328027.371600002</v>
      </c>
      <c r="L437" s="6">
        <f t="shared" si="17"/>
        <v>-1371165.6283999979</v>
      </c>
      <c r="M437" t="s">
        <v>1518</v>
      </c>
      <c r="P437" s="6">
        <f>I437+L437</f>
        <v>-2716457.0483999997</v>
      </c>
    </row>
    <row r="438" spans="1:25">
      <c r="A438" s="5" t="s">
        <v>1434</v>
      </c>
      <c r="B438" s="5" t="s">
        <v>1325</v>
      </c>
      <c r="C438" s="5" t="s">
        <v>1326</v>
      </c>
      <c r="D438" s="5" t="s">
        <v>1392</v>
      </c>
      <c r="G438" s="6">
        <v>0</v>
      </c>
      <c r="H438" s="6">
        <v>0</v>
      </c>
      <c r="I438" s="6">
        <f t="shared" si="16"/>
        <v>0</v>
      </c>
      <c r="J438" s="6">
        <v>0</v>
      </c>
      <c r="K438" s="6">
        <v>0</v>
      </c>
      <c r="L438" s="6">
        <f t="shared" si="17"/>
        <v>0</v>
      </c>
    </row>
    <row r="439" spans="1:25">
      <c r="A439" s="5" t="s">
        <v>1434</v>
      </c>
      <c r="B439" s="5" t="s">
        <v>1327</v>
      </c>
      <c r="C439" s="5" t="s">
        <v>1328</v>
      </c>
      <c r="D439" s="5" t="s">
        <v>1393</v>
      </c>
      <c r="G439" s="6">
        <v>545099</v>
      </c>
      <c r="H439" s="6">
        <v>545099</v>
      </c>
      <c r="I439" s="6">
        <f t="shared" si="16"/>
        <v>0</v>
      </c>
      <c r="J439" s="6">
        <v>593148</v>
      </c>
      <c r="K439" s="6">
        <v>590924</v>
      </c>
      <c r="L439" s="6">
        <f t="shared" si="17"/>
        <v>-2224</v>
      </c>
      <c r="M439" s="4" t="s">
        <v>129</v>
      </c>
      <c r="W439" s="6">
        <f>I439+L439</f>
        <v>-2224</v>
      </c>
    </row>
    <row r="440" spans="1:25">
      <c r="A440" s="5" t="s">
        <v>1434</v>
      </c>
      <c r="B440" s="5" t="s">
        <v>1329</v>
      </c>
      <c r="C440" s="5" t="s">
        <v>1330</v>
      </c>
      <c r="D440" s="5" t="s">
        <v>1394</v>
      </c>
      <c r="G440" s="6">
        <v>44438</v>
      </c>
      <c r="H440" s="6">
        <v>44438</v>
      </c>
      <c r="I440" s="6">
        <f t="shared" si="16"/>
        <v>0</v>
      </c>
      <c r="J440" s="6">
        <v>63458</v>
      </c>
      <c r="K440" s="6">
        <v>63458</v>
      </c>
      <c r="L440" s="6">
        <f t="shared" si="17"/>
        <v>0</v>
      </c>
    </row>
    <row r="441" spans="1:25">
      <c r="A441" s="5" t="s">
        <v>1434</v>
      </c>
      <c r="B441" s="5" t="s">
        <v>1331</v>
      </c>
      <c r="C441" s="5" t="s">
        <v>1332</v>
      </c>
      <c r="D441" s="5" t="s">
        <v>1395</v>
      </c>
      <c r="E441" s="6">
        <v>76</v>
      </c>
      <c r="F441" s="6">
        <v>76</v>
      </c>
      <c r="G441" s="6">
        <v>57824</v>
      </c>
      <c r="H441" s="6">
        <v>0</v>
      </c>
      <c r="I441" s="6">
        <f t="shared" si="16"/>
        <v>-57824</v>
      </c>
      <c r="J441" s="6">
        <v>57824</v>
      </c>
      <c r="K441" s="6">
        <v>0</v>
      </c>
      <c r="L441" s="6">
        <f t="shared" si="17"/>
        <v>-57824</v>
      </c>
      <c r="M441" t="s">
        <v>1494</v>
      </c>
      <c r="P441" s="6">
        <f>I441+L441</f>
        <v>-115648</v>
      </c>
    </row>
    <row r="442" spans="1:25">
      <c r="A442" s="5" t="s">
        <v>1434</v>
      </c>
      <c r="B442" s="5" t="s">
        <v>1333</v>
      </c>
      <c r="C442" s="5" t="s">
        <v>1334</v>
      </c>
      <c r="D442" s="5" t="s">
        <v>1396</v>
      </c>
      <c r="E442" s="6">
        <v>344168</v>
      </c>
      <c r="F442" s="6">
        <v>2000</v>
      </c>
      <c r="G442" s="6">
        <v>124062</v>
      </c>
      <c r="H442" s="6">
        <v>12000</v>
      </c>
      <c r="I442" s="6">
        <f t="shared" si="16"/>
        <v>-112062</v>
      </c>
      <c r="J442" s="6">
        <v>124062</v>
      </c>
      <c r="K442" s="6">
        <v>12000</v>
      </c>
      <c r="L442" s="6">
        <f t="shared" si="17"/>
        <v>-112062</v>
      </c>
      <c r="M442" t="s">
        <v>1452</v>
      </c>
      <c r="P442" s="6">
        <f>I442+L442</f>
        <v>-224124</v>
      </c>
    </row>
    <row r="443" spans="1:25">
      <c r="A443" s="5" t="s">
        <v>1428</v>
      </c>
      <c r="B443" s="5" t="s">
        <v>1335</v>
      </c>
      <c r="C443" s="5" t="s">
        <v>1336</v>
      </c>
      <c r="D443" s="5" t="s">
        <v>1397</v>
      </c>
      <c r="G443" s="6">
        <v>4025614</v>
      </c>
      <c r="H443" s="6">
        <v>4025614</v>
      </c>
      <c r="I443" s="6">
        <f t="shared" si="16"/>
        <v>0</v>
      </c>
      <c r="J443" s="6">
        <v>4824881</v>
      </c>
      <c r="K443" s="6">
        <v>4824881</v>
      </c>
      <c r="L443" s="6">
        <f t="shared" si="17"/>
        <v>0</v>
      </c>
    </row>
    <row r="444" spans="1:25">
      <c r="A444" s="5" t="s">
        <v>1428</v>
      </c>
      <c r="B444" s="5" t="s">
        <v>1337</v>
      </c>
      <c r="C444" s="5" t="s">
        <v>1338</v>
      </c>
      <c r="D444" s="5" t="s">
        <v>1398</v>
      </c>
      <c r="G444" s="6">
        <v>26062702</v>
      </c>
      <c r="H444" s="6">
        <v>26062702</v>
      </c>
      <c r="I444" s="6">
        <f t="shared" si="16"/>
        <v>0</v>
      </c>
      <c r="J444" s="6">
        <v>25468032</v>
      </c>
      <c r="K444" s="6">
        <v>25468032</v>
      </c>
      <c r="L444" s="6">
        <f t="shared" si="17"/>
        <v>0</v>
      </c>
      <c r="N444" s="5" t="s">
        <v>1432</v>
      </c>
    </row>
    <row r="445" spans="1:25">
      <c r="A445" s="5" t="s">
        <v>1400</v>
      </c>
      <c r="B445" s="5" t="s">
        <v>1429</v>
      </c>
      <c r="C445" s="5" t="s">
        <v>1339</v>
      </c>
      <c r="D445" s="5" t="s">
        <v>1399</v>
      </c>
      <c r="G445" s="6">
        <v>7517597</v>
      </c>
      <c r="H445" s="6">
        <v>0</v>
      </c>
      <c r="I445" s="6">
        <f t="shared" si="16"/>
        <v>-7517597</v>
      </c>
      <c r="J445" s="6">
        <v>7898955</v>
      </c>
      <c r="K445" s="6">
        <v>0</v>
      </c>
      <c r="L445" s="6">
        <f t="shared" si="17"/>
        <v>-7898955</v>
      </c>
      <c r="M445" s="10" t="s">
        <v>1439</v>
      </c>
      <c r="O445" s="6">
        <v>1332805</v>
      </c>
      <c r="X445" s="6"/>
      <c r="Y445" s="6">
        <f>I445+L445</f>
        <v>-15416552</v>
      </c>
    </row>
    <row r="446" spans="1:25">
      <c r="A446" s="5" t="s">
        <v>1601</v>
      </c>
      <c r="G446" s="6">
        <v>0</v>
      </c>
      <c r="H446" s="6">
        <v>100000000</v>
      </c>
      <c r="I446" s="6">
        <f t="shared" si="16"/>
        <v>100000000</v>
      </c>
      <c r="J446" s="6">
        <v>0</v>
      </c>
      <c r="K446" s="6">
        <v>100000000</v>
      </c>
      <c r="L446" s="6">
        <f t="shared" si="17"/>
        <v>100000000</v>
      </c>
      <c r="T446" s="6">
        <f>I446+L446</f>
        <v>200000000</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D10"/>
  <sheetViews>
    <sheetView zoomScale="150" zoomScaleNormal="150" zoomScalePageLayoutView="150" workbookViewId="0">
      <selection activeCell="A5" sqref="A5"/>
    </sheetView>
  </sheetViews>
  <sheetFormatPr defaultColWidth="11.19921875" defaultRowHeight="15.6"/>
  <cols>
    <col min="1" max="1" width="19.296875" customWidth="1"/>
    <col min="2" max="2" width="14.69921875" bestFit="1" customWidth="1"/>
    <col min="3" max="3" width="13" bestFit="1" customWidth="1"/>
  </cols>
  <sheetData>
    <row r="1" spans="1:4">
      <c r="A1" t="s">
        <v>323</v>
      </c>
    </row>
    <row r="2" spans="1:4">
      <c r="B2" s="1" t="s">
        <v>1460</v>
      </c>
      <c r="C2" s="1" t="s">
        <v>1461</v>
      </c>
    </row>
    <row r="3" spans="1:4">
      <c r="A3" t="s">
        <v>1522</v>
      </c>
      <c r="B3" s="2">
        <f>-30944182-5478930</f>
        <v>-36423112</v>
      </c>
      <c r="C3" s="2">
        <f>-49328760-2716169</f>
        <v>-52044929</v>
      </c>
      <c r="D3" t="s">
        <v>1520</v>
      </c>
    </row>
    <row r="4" spans="1:4">
      <c r="A4" t="s">
        <v>1521</v>
      </c>
      <c r="B4" s="2">
        <v>-19642265</v>
      </c>
      <c r="C4" s="2">
        <v>-20148091</v>
      </c>
    </row>
    <row r="5" spans="1:4">
      <c r="A5" t="s">
        <v>1523</v>
      </c>
      <c r="B5" s="2">
        <v>-171993055</v>
      </c>
      <c r="C5" s="2">
        <v>-178228810</v>
      </c>
    </row>
    <row r="6" spans="1:4">
      <c r="A6" t="s">
        <v>1524</v>
      </c>
      <c r="B6" s="2">
        <v>0</v>
      </c>
      <c r="C6" s="2">
        <f>-167946575+138418083</f>
        <v>-29528492</v>
      </c>
    </row>
    <row r="7" spans="1:4">
      <c r="B7" s="2">
        <f>SUM(B3:B6)</f>
        <v>-228058432</v>
      </c>
      <c r="C7" s="2">
        <f>SUM(C3:C6)</f>
        <v>-279950322</v>
      </c>
    </row>
    <row r="9" spans="1:4">
      <c r="B9" s="1" t="s">
        <v>1533</v>
      </c>
      <c r="C9" s="1" t="s">
        <v>1534</v>
      </c>
    </row>
    <row r="10" spans="1:4">
      <c r="A10" t="s">
        <v>1535</v>
      </c>
      <c r="B10" s="2">
        <v>182900000</v>
      </c>
      <c r="C10" s="2">
        <v>206300000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G19"/>
  <sheetViews>
    <sheetView zoomScale="125" zoomScaleNormal="125" zoomScalePageLayoutView="125" workbookViewId="0">
      <selection activeCell="E5" sqref="E5"/>
    </sheetView>
  </sheetViews>
  <sheetFormatPr defaultColWidth="11.19921875" defaultRowHeight="15"/>
  <cols>
    <col min="1" max="1" width="39.5" style="12" bestFit="1" customWidth="1"/>
    <col min="2" max="3" width="15.796875" style="12" bestFit="1" customWidth="1"/>
    <col min="4" max="4" width="29.19921875" style="12" bestFit="1" customWidth="1"/>
    <col min="5" max="5" width="19.5" style="12" customWidth="1"/>
    <col min="6" max="7" width="17.296875" style="12" bestFit="1" customWidth="1"/>
    <col min="8" max="16384" width="11.19921875" style="12"/>
  </cols>
  <sheetData>
    <row r="1" spans="1:7" ht="15.6">
      <c r="A1" s="16" t="s">
        <v>326</v>
      </c>
    </row>
    <row r="2" spans="1:7" ht="15.6">
      <c r="B2" s="16" t="s">
        <v>1463</v>
      </c>
      <c r="C2" s="16" t="s">
        <v>1464</v>
      </c>
      <c r="D2" s="16"/>
      <c r="E2" s="16"/>
      <c r="F2" s="16" t="s">
        <v>1460</v>
      </c>
      <c r="G2" s="16" t="s">
        <v>1461</v>
      </c>
    </row>
    <row r="3" spans="1:7">
      <c r="A3" s="12" t="s">
        <v>1466</v>
      </c>
      <c r="B3" s="13">
        <v>10000000</v>
      </c>
      <c r="C3" s="13">
        <v>10000000</v>
      </c>
      <c r="D3" s="13"/>
      <c r="E3" s="13" t="s">
        <v>1462</v>
      </c>
      <c r="F3" s="13">
        <v>4879489</v>
      </c>
      <c r="G3" s="13">
        <v>22250574</v>
      </c>
    </row>
    <row r="4" spans="1:7">
      <c r="A4" s="14" t="s">
        <v>1486</v>
      </c>
      <c r="B4" s="15">
        <v>1785690</v>
      </c>
      <c r="C4" s="15">
        <v>1785690</v>
      </c>
      <c r="D4" s="13" t="s">
        <v>1469</v>
      </c>
      <c r="E4" s="12" t="s">
        <v>1465</v>
      </c>
      <c r="F4" s="13">
        <v>4970000</v>
      </c>
      <c r="G4" s="13">
        <v>4970000</v>
      </c>
    </row>
    <row r="5" spans="1:7">
      <c r="A5" s="14" t="s">
        <v>1472</v>
      </c>
      <c r="B5" s="15">
        <v>750000</v>
      </c>
      <c r="C5" s="15">
        <v>750000</v>
      </c>
      <c r="E5" s="13" t="s">
        <v>1467</v>
      </c>
      <c r="F5" s="13">
        <v>23200000</v>
      </c>
      <c r="G5" s="13">
        <v>23200000</v>
      </c>
    </row>
    <row r="6" spans="1:7">
      <c r="A6" s="14" t="s">
        <v>1474</v>
      </c>
      <c r="B6" s="15">
        <v>106998</v>
      </c>
      <c r="C6" s="15">
        <v>106998</v>
      </c>
      <c r="D6" s="13"/>
      <c r="E6" s="13" t="s">
        <v>1468</v>
      </c>
      <c r="F6" s="13">
        <v>1000000</v>
      </c>
      <c r="G6" s="13">
        <v>1000000</v>
      </c>
    </row>
    <row r="7" spans="1:7">
      <c r="A7" s="14" t="s">
        <v>1476</v>
      </c>
      <c r="B7" s="15">
        <v>446406</v>
      </c>
      <c r="C7" s="15">
        <v>446406</v>
      </c>
      <c r="D7" s="13"/>
      <c r="E7" s="14" t="s">
        <v>502</v>
      </c>
      <c r="F7" s="13">
        <v>51551</v>
      </c>
      <c r="G7" s="13">
        <v>51551</v>
      </c>
    </row>
    <row r="8" spans="1:7">
      <c r="A8" s="14" t="s">
        <v>1479</v>
      </c>
      <c r="B8" s="15">
        <v>850000</v>
      </c>
      <c r="C8" s="15">
        <v>850000</v>
      </c>
      <c r="D8" s="13"/>
      <c r="E8" s="13" t="s">
        <v>1470</v>
      </c>
      <c r="F8" s="13">
        <v>11969208</v>
      </c>
      <c r="G8" s="13">
        <v>24270000</v>
      </c>
    </row>
    <row r="9" spans="1:7">
      <c r="A9" s="14" t="s">
        <v>503</v>
      </c>
      <c r="B9" s="15">
        <v>18798</v>
      </c>
      <c r="C9" s="15">
        <v>18798</v>
      </c>
      <c r="D9" s="13"/>
      <c r="E9" s="13" t="s">
        <v>1471</v>
      </c>
      <c r="F9" s="13">
        <v>392329</v>
      </c>
      <c r="G9" s="13"/>
    </row>
    <row r="10" spans="1:7">
      <c r="A10" s="14" t="s">
        <v>1481</v>
      </c>
      <c r="B10" s="15">
        <v>44233</v>
      </c>
      <c r="C10" s="15">
        <v>44233</v>
      </c>
      <c r="D10" s="13" t="s">
        <v>1480</v>
      </c>
      <c r="E10" s="14" t="s">
        <v>1472</v>
      </c>
      <c r="F10" s="13">
        <v>1750000</v>
      </c>
      <c r="G10" s="13">
        <v>2850000</v>
      </c>
    </row>
    <row r="11" spans="1:7">
      <c r="A11" s="14" t="s">
        <v>1482</v>
      </c>
      <c r="B11" s="15">
        <v>30000</v>
      </c>
      <c r="C11" s="15">
        <v>30000</v>
      </c>
      <c r="D11" s="13" t="s">
        <v>1480</v>
      </c>
      <c r="E11" s="13" t="s">
        <v>1473</v>
      </c>
      <c r="F11" s="13">
        <v>3000000</v>
      </c>
      <c r="G11" s="13">
        <v>5000000</v>
      </c>
    </row>
    <row r="12" spans="1:7">
      <c r="A12" s="14" t="s">
        <v>1483</v>
      </c>
      <c r="B12" s="15">
        <v>668741</v>
      </c>
      <c r="C12" s="15">
        <v>668741</v>
      </c>
      <c r="D12" s="13"/>
      <c r="E12" s="13" t="s">
        <v>1475</v>
      </c>
      <c r="F12" s="13">
        <v>5174243</v>
      </c>
      <c r="G12" s="13">
        <v>5174243</v>
      </c>
    </row>
    <row r="13" spans="1:7">
      <c r="A13" s="14" t="s">
        <v>1484</v>
      </c>
      <c r="B13" s="15">
        <v>526784</v>
      </c>
      <c r="C13" s="15">
        <v>526784</v>
      </c>
      <c r="D13" s="13" t="s">
        <v>1480</v>
      </c>
      <c r="E13" s="14" t="s">
        <v>1476</v>
      </c>
      <c r="F13" s="13">
        <v>2736</v>
      </c>
      <c r="G13" s="13">
        <v>2736</v>
      </c>
    </row>
    <row r="14" spans="1:7">
      <c r="A14" s="14" t="s">
        <v>504</v>
      </c>
      <c r="B14" s="15">
        <v>3124856</v>
      </c>
      <c r="C14" s="15">
        <v>3124856</v>
      </c>
      <c r="D14" s="13" t="s">
        <v>1480</v>
      </c>
      <c r="E14" s="13" t="s">
        <v>1477</v>
      </c>
      <c r="F14" s="13">
        <v>462725</v>
      </c>
      <c r="G14" s="13">
        <v>462725</v>
      </c>
    </row>
    <row r="15" spans="1:7">
      <c r="A15" s="14" t="s">
        <v>505</v>
      </c>
      <c r="B15" s="15">
        <v>18260398</v>
      </c>
      <c r="C15" s="15">
        <v>18260398</v>
      </c>
      <c r="D15" s="13"/>
      <c r="E15" s="13" t="s">
        <v>1478</v>
      </c>
      <c r="F15" s="13">
        <v>3338875</v>
      </c>
      <c r="G15" s="13">
        <v>3338375</v>
      </c>
    </row>
    <row r="16" spans="1:7">
      <c r="B16" s="13">
        <f>SUM(B3:B15)</f>
        <v>36612904</v>
      </c>
      <c r="C16" s="13">
        <f>SUM(C3:C15)</f>
        <v>36612904</v>
      </c>
      <c r="D16" s="13"/>
      <c r="E16" s="14" t="s">
        <v>1481</v>
      </c>
      <c r="F16" s="13">
        <v>350</v>
      </c>
      <c r="G16" s="13">
        <v>350</v>
      </c>
    </row>
    <row r="17" spans="4:7">
      <c r="D17" s="13"/>
      <c r="E17" s="14" t="s">
        <v>1482</v>
      </c>
      <c r="F17" s="13">
        <v>19285</v>
      </c>
      <c r="G17" s="13">
        <v>19285</v>
      </c>
    </row>
    <row r="18" spans="4:7">
      <c r="D18" s="13"/>
      <c r="E18" s="13" t="s">
        <v>1485</v>
      </c>
      <c r="F18" s="13">
        <f>7343822-3124856</f>
        <v>4218966</v>
      </c>
      <c r="G18" s="13">
        <f>7343822-3124856</f>
        <v>4218966</v>
      </c>
    </row>
    <row r="19" spans="4:7">
      <c r="F19" s="13">
        <f>SUM(F3:F18)</f>
        <v>64429757</v>
      </c>
      <c r="G19" s="13">
        <f>SUM(G3:G18)</f>
        <v>96808805</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N12"/>
  <sheetViews>
    <sheetView zoomScale="150" zoomScaleNormal="150" zoomScalePageLayoutView="150" workbookViewId="0">
      <selection activeCell="F12" sqref="F12"/>
    </sheetView>
  </sheetViews>
  <sheetFormatPr defaultColWidth="11.19921875" defaultRowHeight="15.6"/>
  <cols>
    <col min="2" max="3" width="12.296875" bestFit="1" customWidth="1"/>
    <col min="4" max="4" width="2.5" customWidth="1"/>
    <col min="5" max="5" width="13.69921875" customWidth="1"/>
    <col min="6" max="6" width="13.5" customWidth="1"/>
    <col min="7" max="7" width="3.5" customWidth="1"/>
    <col min="8" max="9" width="12.296875" bestFit="1" customWidth="1"/>
    <col min="10" max="10" width="2.5" customWidth="1"/>
    <col min="11" max="12" width="11.296875" bestFit="1" customWidth="1"/>
    <col min="13" max="14" width="13.796875" bestFit="1" customWidth="1"/>
  </cols>
  <sheetData>
    <row r="1" spans="1:14">
      <c r="A1" t="s">
        <v>486</v>
      </c>
    </row>
    <row r="2" spans="1:14">
      <c r="A2" t="s">
        <v>1496</v>
      </c>
    </row>
    <row r="3" spans="1:14">
      <c r="A3" t="s">
        <v>1497</v>
      </c>
      <c r="E3" t="s">
        <v>1495</v>
      </c>
      <c r="H3" t="s">
        <v>1498</v>
      </c>
      <c r="K3" t="s">
        <v>1499</v>
      </c>
    </row>
    <row r="4" spans="1:14">
      <c r="B4">
        <v>2016</v>
      </c>
      <c r="C4">
        <v>2017</v>
      </c>
      <c r="E4">
        <v>2016</v>
      </c>
      <c r="F4">
        <v>2017</v>
      </c>
      <c r="H4">
        <v>2016</v>
      </c>
      <c r="I4">
        <v>2017</v>
      </c>
      <c r="K4">
        <v>2016</v>
      </c>
      <c r="L4">
        <v>2017</v>
      </c>
      <c r="M4" t="s">
        <v>1500</v>
      </c>
    </row>
    <row r="5" spans="1:14">
      <c r="A5" t="s">
        <v>512</v>
      </c>
      <c r="B5" s="2">
        <v>9591347</v>
      </c>
      <c r="C5" s="2">
        <v>9071284</v>
      </c>
      <c r="D5" s="2"/>
      <c r="E5" s="17">
        <f>B5/9</f>
        <v>1065705.2222222222</v>
      </c>
      <c r="F5" s="2">
        <f>C5*(15/85)</f>
        <v>1600814.8235294118</v>
      </c>
      <c r="G5" s="2"/>
      <c r="H5" s="2">
        <v>9591347</v>
      </c>
      <c r="I5" s="2">
        <v>9071284</v>
      </c>
      <c r="J5" s="2"/>
      <c r="K5" s="2">
        <v>1065705</v>
      </c>
      <c r="L5" s="2">
        <v>1600815</v>
      </c>
      <c r="M5" s="17">
        <f>H5/9</f>
        <v>1065705.2222222222</v>
      </c>
      <c r="N5" s="17">
        <f>I5*(15/85)</f>
        <v>1600814.8235294118</v>
      </c>
    </row>
    <row r="6" spans="1:14">
      <c r="A6" t="s">
        <v>513</v>
      </c>
      <c r="B6" s="2">
        <v>10692695</v>
      </c>
      <c r="C6" s="2">
        <v>10113491</v>
      </c>
      <c r="D6" s="2"/>
      <c r="E6" s="17">
        <f t="shared" ref="E6:E11" si="0">B6/9</f>
        <v>1188077.2222222222</v>
      </c>
      <c r="F6" s="2">
        <f t="shared" ref="F6:F11" si="1">C6*(15/85)</f>
        <v>1784733.705882353</v>
      </c>
      <c r="G6" s="2"/>
      <c r="H6" s="2">
        <v>10692695</v>
      </c>
      <c r="I6" s="2">
        <v>10113491</v>
      </c>
      <c r="J6" s="2"/>
      <c r="K6" s="2">
        <v>1188077</v>
      </c>
      <c r="L6" s="2">
        <v>1784733</v>
      </c>
      <c r="M6" s="17">
        <f t="shared" ref="M6:M11" si="2">H6/9</f>
        <v>1188077.2222222222</v>
      </c>
      <c r="N6" s="17">
        <f t="shared" ref="N6:N11" si="3">I6*(15/85)</f>
        <v>1784733.705882353</v>
      </c>
    </row>
    <row r="7" spans="1:14">
      <c r="A7" t="s">
        <v>514</v>
      </c>
      <c r="B7" s="2">
        <v>27314492</v>
      </c>
      <c r="C7" s="2">
        <v>25837780</v>
      </c>
      <c r="D7" s="2"/>
      <c r="E7" s="17">
        <f t="shared" si="0"/>
        <v>3034943.5555555555</v>
      </c>
      <c r="F7" s="2">
        <f t="shared" si="1"/>
        <v>4559608.2352941176</v>
      </c>
      <c r="G7" s="2"/>
      <c r="H7" s="2">
        <v>27314492</v>
      </c>
      <c r="I7" s="2">
        <v>25837780</v>
      </c>
      <c r="J7" s="2"/>
      <c r="K7" s="2">
        <v>3034944</v>
      </c>
      <c r="L7" s="2">
        <v>4559608</v>
      </c>
      <c r="M7" s="17">
        <f t="shared" si="2"/>
        <v>3034943.5555555555</v>
      </c>
      <c r="N7" s="17">
        <f t="shared" si="3"/>
        <v>4559608.2352941176</v>
      </c>
    </row>
    <row r="8" spans="1:14">
      <c r="A8" t="s">
        <v>515</v>
      </c>
      <c r="B8" s="2">
        <v>73716993</v>
      </c>
      <c r="C8" s="2">
        <v>74184371</v>
      </c>
      <c r="D8" s="2"/>
      <c r="E8" s="17">
        <f t="shared" si="0"/>
        <v>8190777</v>
      </c>
      <c r="F8" s="2">
        <f t="shared" si="1"/>
        <v>13091359.588235294</v>
      </c>
      <c r="G8" s="2"/>
      <c r="H8" s="2">
        <v>79733942</v>
      </c>
      <c r="I8" s="2">
        <v>75423257</v>
      </c>
      <c r="J8" s="2"/>
      <c r="K8" s="2">
        <v>8859327</v>
      </c>
      <c r="L8" s="2">
        <v>13309987</v>
      </c>
      <c r="M8" s="17">
        <f t="shared" si="2"/>
        <v>8859326.8888888881</v>
      </c>
      <c r="N8" s="17">
        <f t="shared" si="3"/>
        <v>13309986.529411765</v>
      </c>
    </row>
    <row r="9" spans="1:14">
      <c r="A9" t="s">
        <v>516</v>
      </c>
      <c r="B9" s="2">
        <v>8465729</v>
      </c>
      <c r="C9" s="2">
        <v>8517501</v>
      </c>
      <c r="D9" s="2"/>
      <c r="E9" s="17">
        <f t="shared" si="0"/>
        <v>940636.5555555555</v>
      </c>
      <c r="F9" s="2">
        <f t="shared" si="1"/>
        <v>1503088.411764706</v>
      </c>
      <c r="G9" s="2"/>
      <c r="H9" s="2">
        <v>13015824</v>
      </c>
      <c r="I9" s="2">
        <v>12312145</v>
      </c>
      <c r="J9" s="2"/>
      <c r="K9" s="2">
        <v>1446203</v>
      </c>
      <c r="L9" s="2">
        <v>2172731</v>
      </c>
      <c r="M9" s="17">
        <f t="shared" si="2"/>
        <v>1446202.6666666667</v>
      </c>
      <c r="N9" s="17">
        <f t="shared" si="3"/>
        <v>2172731.4705882357</v>
      </c>
    </row>
    <row r="10" spans="1:14">
      <c r="A10" t="s">
        <v>517</v>
      </c>
      <c r="B10" s="2">
        <v>64921118</v>
      </c>
      <c r="C10" s="2">
        <v>62969813</v>
      </c>
      <c r="D10" s="2"/>
      <c r="E10" s="17">
        <f t="shared" si="0"/>
        <v>7213457.555555556</v>
      </c>
      <c r="F10" s="2">
        <f t="shared" si="1"/>
        <v>11112319.941176472</v>
      </c>
      <c r="G10" s="2"/>
      <c r="H10" s="2">
        <v>93937808</v>
      </c>
      <c r="I10" s="2">
        <v>88853706</v>
      </c>
      <c r="J10" s="2"/>
      <c r="K10" s="2">
        <v>10437534</v>
      </c>
      <c r="L10" s="2">
        <v>15680066</v>
      </c>
      <c r="M10" s="17">
        <f t="shared" si="2"/>
        <v>10437534.222222222</v>
      </c>
      <c r="N10" s="17">
        <f t="shared" si="3"/>
        <v>15680065.764705883</v>
      </c>
    </row>
    <row r="11" spans="1:14">
      <c r="A11" t="s">
        <v>518</v>
      </c>
      <c r="B11" s="2">
        <v>120253288</v>
      </c>
      <c r="C11" s="2">
        <v>121779571</v>
      </c>
      <c r="D11" s="2"/>
      <c r="E11" s="17">
        <f t="shared" si="0"/>
        <v>13361476.444444444</v>
      </c>
      <c r="F11" s="2">
        <f t="shared" si="1"/>
        <v>21490512.529411767</v>
      </c>
      <c r="G11" s="2"/>
      <c r="H11" s="2">
        <v>130670627</v>
      </c>
      <c r="I11" s="2">
        <v>124099409</v>
      </c>
      <c r="J11" s="2"/>
      <c r="K11" s="2">
        <v>14518958</v>
      </c>
      <c r="L11" s="2">
        <v>21811660</v>
      </c>
      <c r="M11" s="17">
        <f t="shared" si="2"/>
        <v>14518958.555555556</v>
      </c>
      <c r="N11" s="17">
        <f t="shared" si="3"/>
        <v>21899895.705882356</v>
      </c>
    </row>
    <row r="12" spans="1:14">
      <c r="E12" s="17">
        <f>SUM(E5:E11)</f>
        <v>34995073.555555552</v>
      </c>
      <c r="F12" s="17">
        <f>SUM(F5:F11)</f>
        <v>55142437.235294119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P57"/>
  <sheetViews>
    <sheetView workbookViewId="0">
      <pane ySplit="1" topLeftCell="A14" activePane="bottomLeft" state="frozen"/>
      <selection pane="bottomLeft" activeCell="D52" sqref="D52"/>
    </sheetView>
  </sheetViews>
  <sheetFormatPr defaultColWidth="8.796875" defaultRowHeight="15.6"/>
  <cols>
    <col min="1" max="1" width="34.19921875" style="39" customWidth="1"/>
    <col min="2" max="2" width="15.5" style="35" bestFit="1" customWidth="1"/>
    <col min="3" max="3" width="16.69921875" style="35" bestFit="1" customWidth="1"/>
    <col min="4" max="4" width="16.69921875" style="35" customWidth="1"/>
    <col min="5" max="5" width="17.296875" style="35" bestFit="1" customWidth="1"/>
    <col min="6" max="6" width="17.296875" style="35" customWidth="1"/>
    <col min="7" max="7" width="16.69921875" style="35" bestFit="1" customWidth="1"/>
    <col min="8" max="8" width="16.69921875" style="35" customWidth="1"/>
    <col min="9" max="9" width="17.296875" style="35" bestFit="1" customWidth="1"/>
    <col min="10" max="10" width="17.5" style="35" customWidth="1"/>
    <col min="11" max="11" width="20.19921875" style="35" customWidth="1"/>
    <col min="12" max="12" width="8.796875" style="35"/>
    <col min="13" max="14" width="8.796875" style="48"/>
    <col min="15" max="16" width="8.796875" style="49"/>
    <col min="17" max="16384" width="8.796875" style="39"/>
  </cols>
  <sheetData>
    <row r="1" spans="1:16">
      <c r="A1" s="37" t="s">
        <v>0</v>
      </c>
      <c r="B1" s="38" t="s">
        <v>4</v>
      </c>
      <c r="C1" s="38" t="s">
        <v>1579</v>
      </c>
      <c r="D1" s="38" t="s">
        <v>1596</v>
      </c>
      <c r="E1" s="38" t="s">
        <v>5</v>
      </c>
      <c r="F1" s="38" t="s">
        <v>1596</v>
      </c>
      <c r="G1" s="38" t="s">
        <v>1580</v>
      </c>
      <c r="H1" s="38" t="s">
        <v>1596</v>
      </c>
      <c r="I1" s="38" t="s">
        <v>6</v>
      </c>
      <c r="J1" s="38" t="s">
        <v>1596</v>
      </c>
      <c r="K1" s="38" t="s">
        <v>1597</v>
      </c>
      <c r="M1" s="35"/>
      <c r="N1" s="35"/>
      <c r="O1" s="39"/>
      <c r="P1" s="39"/>
    </row>
    <row r="2" spans="1:16">
      <c r="A2" s="40"/>
      <c r="B2" s="41"/>
      <c r="C2" s="41"/>
      <c r="D2" s="41"/>
      <c r="E2" s="41"/>
      <c r="F2" s="41"/>
      <c r="G2" s="41"/>
      <c r="H2" s="41"/>
      <c r="I2" s="41"/>
      <c r="K2" s="41"/>
      <c r="M2" s="35"/>
      <c r="N2" s="35"/>
      <c r="O2" s="39"/>
      <c r="P2" s="39"/>
    </row>
    <row r="3" spans="1:16">
      <c r="A3" s="40" t="s">
        <v>10</v>
      </c>
      <c r="B3" s="41">
        <v>17049688</v>
      </c>
      <c r="C3" s="41">
        <v>25621484.579999998</v>
      </c>
      <c r="D3" s="42">
        <f>C3/B3-1</f>
        <v>0.50275386740214834</v>
      </c>
      <c r="E3" s="43">
        <v>27136662</v>
      </c>
      <c r="F3" s="44">
        <f>E3/B3-1</f>
        <v>0.59162220446497327</v>
      </c>
      <c r="G3" s="41">
        <v>22994409.371600002</v>
      </c>
      <c r="H3" s="42">
        <f>G3/B3-1</f>
        <v>0.34867039042591297</v>
      </c>
      <c r="I3" s="43">
        <v>24537685</v>
      </c>
      <c r="J3" s="45">
        <f>I3/B3-1</f>
        <v>0.43918674640849731</v>
      </c>
      <c r="K3" s="44">
        <f>G3/I3-1</f>
        <v>-6.2894100580392909E-2</v>
      </c>
      <c r="M3" s="35"/>
      <c r="N3" s="35"/>
      <c r="O3" s="39"/>
      <c r="P3" s="39"/>
    </row>
    <row r="4" spans="1:16">
      <c r="A4" s="40" t="s">
        <v>1546</v>
      </c>
      <c r="B4" s="41">
        <v>51012359</v>
      </c>
      <c r="C4" s="46">
        <v>67002253.240000002</v>
      </c>
      <c r="D4" s="42">
        <f t="shared" ref="D4:D51" si="0">C4/B4-1</f>
        <v>0.31345137832186909</v>
      </c>
      <c r="E4" s="43">
        <v>77165865</v>
      </c>
      <c r="F4" s="44">
        <f>E4/B4-1</f>
        <v>0.51268960135719266</v>
      </c>
      <c r="G4" s="46">
        <v>62364475.084800005</v>
      </c>
      <c r="H4" s="42">
        <f>G4/B4-1</f>
        <v>0.22253658343461447</v>
      </c>
      <c r="I4" s="43">
        <v>68554741</v>
      </c>
      <c r="J4" s="45">
        <f>I4/B4-1</f>
        <v>0.34388493972607703</v>
      </c>
      <c r="K4" s="44">
        <f t="shared" ref="K4:K51" si="1">G4/I4-1</f>
        <v>-9.0296685902438112E-2</v>
      </c>
      <c r="M4" s="35"/>
      <c r="N4" s="35"/>
      <c r="O4" s="39"/>
      <c r="P4" s="39"/>
    </row>
    <row r="5" spans="1:16">
      <c r="A5" s="40" t="s">
        <v>11</v>
      </c>
      <c r="B5" s="41">
        <v>152240424</v>
      </c>
      <c r="C5" s="46">
        <v>83555491</v>
      </c>
      <c r="D5" s="42">
        <f t="shared" si="0"/>
        <v>-0.45116094132790907</v>
      </c>
      <c r="E5" s="43">
        <v>84318720</v>
      </c>
      <c r="F5" s="44">
        <f>E5/B5-1</f>
        <v>-0.44614762764980209</v>
      </c>
      <c r="G5" s="46">
        <v>83800486</v>
      </c>
      <c r="H5" s="42">
        <f>G5/B5-1</f>
        <v>-0.44955167754919023</v>
      </c>
      <c r="I5" s="43">
        <v>84162812</v>
      </c>
      <c r="J5" s="45">
        <f>I5/B5-1</f>
        <v>-0.44717171833415281</v>
      </c>
      <c r="K5" s="44">
        <f t="shared" si="1"/>
        <v>-4.305060529584015E-3</v>
      </c>
      <c r="M5" s="35"/>
      <c r="N5" s="35"/>
      <c r="O5" s="39"/>
      <c r="P5" s="39"/>
    </row>
    <row r="6" spans="1:16">
      <c r="A6" s="47" t="s">
        <v>12</v>
      </c>
      <c r="B6" s="41">
        <v>12329311</v>
      </c>
      <c r="C6" s="46"/>
      <c r="D6" s="42"/>
      <c r="E6" s="43"/>
      <c r="F6" s="44"/>
      <c r="G6" s="46"/>
      <c r="H6" s="42"/>
      <c r="I6" s="43"/>
      <c r="J6" s="45"/>
      <c r="K6" s="44"/>
      <c r="M6" s="35"/>
      <c r="N6" s="35"/>
      <c r="O6" s="39"/>
      <c r="P6" s="39"/>
    </row>
    <row r="7" spans="1:16">
      <c r="A7" s="40" t="s">
        <v>13</v>
      </c>
      <c r="B7" s="41">
        <v>625906</v>
      </c>
      <c r="C7" s="61">
        <v>841725</v>
      </c>
      <c r="D7" s="42">
        <f t="shared" si="0"/>
        <v>0.34481056260844278</v>
      </c>
      <c r="E7" s="43">
        <v>841725</v>
      </c>
      <c r="F7" s="44">
        <f>E7/B7-1</f>
        <v>0.34481056260844278</v>
      </c>
      <c r="G7" s="61">
        <v>826512</v>
      </c>
      <c r="H7" s="42">
        <f>G7/B7-1</f>
        <v>0.32050499595785942</v>
      </c>
      <c r="I7" s="43">
        <v>826512</v>
      </c>
      <c r="J7" s="45">
        <f>I7/B7-1</f>
        <v>0.32050499595785942</v>
      </c>
      <c r="K7" s="44">
        <f t="shared" si="1"/>
        <v>0</v>
      </c>
      <c r="M7" s="35"/>
      <c r="N7" s="35"/>
      <c r="O7" s="39"/>
      <c r="P7" s="39"/>
    </row>
    <row r="8" spans="1:16">
      <c r="A8" s="36" t="s">
        <v>14</v>
      </c>
      <c r="B8" s="41"/>
      <c r="C8" s="46">
        <v>2537778</v>
      </c>
      <c r="D8" s="42"/>
      <c r="E8" s="43">
        <v>2537778</v>
      </c>
      <c r="F8" s="44"/>
      <c r="G8" s="46">
        <v>2543852</v>
      </c>
      <c r="H8" s="42"/>
      <c r="I8" s="43">
        <v>2543852</v>
      </c>
      <c r="J8" s="45"/>
      <c r="K8" s="44">
        <f t="shared" si="1"/>
        <v>0</v>
      </c>
      <c r="M8" s="35"/>
      <c r="N8" s="35"/>
      <c r="O8" s="39"/>
      <c r="P8" s="39"/>
    </row>
    <row r="9" spans="1:16">
      <c r="A9" s="40" t="s">
        <v>15</v>
      </c>
      <c r="B9" s="41">
        <v>2582422</v>
      </c>
      <c r="C9" s="46">
        <v>2390338</v>
      </c>
      <c r="D9" s="42">
        <f t="shared" si="0"/>
        <v>-7.4381336590224167E-2</v>
      </c>
      <c r="E9" s="43">
        <v>2390338</v>
      </c>
      <c r="F9" s="44">
        <f>E9/B9-1</f>
        <v>-7.4381336590224167E-2</v>
      </c>
      <c r="G9" s="46">
        <v>2408628</v>
      </c>
      <c r="H9" s="42">
        <f>G9/B9-1</f>
        <v>-6.7298838067519573E-2</v>
      </c>
      <c r="I9" s="43">
        <v>2408628</v>
      </c>
      <c r="J9" s="45">
        <f>I9/B9-1</f>
        <v>-6.7298838067519573E-2</v>
      </c>
      <c r="K9" s="44">
        <f t="shared" si="1"/>
        <v>0</v>
      </c>
      <c r="M9" s="35"/>
      <c r="N9" s="35"/>
      <c r="O9" s="39"/>
      <c r="P9" s="39"/>
    </row>
    <row r="10" spans="1:16">
      <c r="A10" s="40" t="s">
        <v>16</v>
      </c>
      <c r="B10" s="41">
        <v>410665</v>
      </c>
      <c r="C10" s="46">
        <v>407385</v>
      </c>
      <c r="D10" s="42">
        <f t="shared" si="0"/>
        <v>-7.9870454019699277E-3</v>
      </c>
      <c r="E10" s="43">
        <v>407385</v>
      </c>
      <c r="F10" s="44">
        <f>E10/B10-1</f>
        <v>-7.9870454019699277E-3</v>
      </c>
      <c r="G10" s="46">
        <v>412195</v>
      </c>
      <c r="H10" s="42">
        <f>G10/B10-1</f>
        <v>3.7256644710408349E-3</v>
      </c>
      <c r="I10" s="43">
        <v>412195</v>
      </c>
      <c r="J10" s="45">
        <f>I10/B10-1</f>
        <v>3.7256644710408349E-3</v>
      </c>
      <c r="K10" s="44">
        <f t="shared" si="1"/>
        <v>0</v>
      </c>
      <c r="M10" s="35"/>
      <c r="N10" s="35"/>
      <c r="O10" s="39"/>
      <c r="P10" s="39"/>
    </row>
    <row r="11" spans="1:16">
      <c r="A11" s="47" t="s">
        <v>17</v>
      </c>
      <c r="B11" s="41">
        <v>25547518</v>
      </c>
      <c r="C11" s="46"/>
      <c r="D11" s="42"/>
      <c r="E11" s="43"/>
      <c r="F11" s="44"/>
      <c r="G11" s="46"/>
      <c r="H11" s="42"/>
      <c r="I11" s="43"/>
      <c r="J11" s="45"/>
      <c r="K11" s="44"/>
      <c r="M11" s="35"/>
      <c r="N11" s="35"/>
      <c r="O11" s="39"/>
      <c r="P11" s="39"/>
    </row>
    <row r="12" spans="1:16">
      <c r="A12" s="40" t="s">
        <v>18</v>
      </c>
      <c r="B12" s="41">
        <v>5014620</v>
      </c>
      <c r="C12" s="46">
        <v>15742517.879999999</v>
      </c>
      <c r="D12" s="42">
        <f t="shared" si="0"/>
        <v>2.1393241920624093</v>
      </c>
      <c r="E12" s="43">
        <v>9299217</v>
      </c>
      <c r="F12" s="44">
        <f t="shared" ref="F12:F18" si="2">E12/B12-1</f>
        <v>0.85442107278318202</v>
      </c>
      <c r="G12" s="46">
        <v>16091705.5976</v>
      </c>
      <c r="H12" s="42">
        <f t="shared" ref="H12:H18" si="3">G12/B12-1</f>
        <v>2.2089581259596938</v>
      </c>
      <c r="I12" s="43">
        <v>9828090</v>
      </c>
      <c r="J12" s="45">
        <f t="shared" ref="J12:J18" si="4">I12/B12-1</f>
        <v>0.959887289565311</v>
      </c>
      <c r="K12" s="44">
        <f t="shared" si="1"/>
        <v>0.63731768813675904</v>
      </c>
      <c r="M12" s="35"/>
      <c r="N12" s="35"/>
      <c r="O12" s="39"/>
      <c r="P12" s="39"/>
    </row>
    <row r="13" spans="1:16">
      <c r="A13" s="40" t="s">
        <v>19</v>
      </c>
      <c r="B13" s="41">
        <v>479208</v>
      </c>
      <c r="C13" s="46">
        <v>384396</v>
      </c>
      <c r="D13" s="42">
        <f t="shared" si="0"/>
        <v>-0.19785145490058598</v>
      </c>
      <c r="E13" s="43">
        <v>384396</v>
      </c>
      <c r="F13" s="44">
        <f t="shared" si="2"/>
        <v>-0.19785145490058598</v>
      </c>
      <c r="G13" s="46">
        <v>361732</v>
      </c>
      <c r="H13" s="42">
        <f t="shared" si="3"/>
        <v>-0.24514615782708138</v>
      </c>
      <c r="I13" s="43">
        <v>361732</v>
      </c>
      <c r="J13" s="45">
        <f t="shared" si="4"/>
        <v>-0.24514615782708138</v>
      </c>
      <c r="K13" s="44">
        <f t="shared" si="1"/>
        <v>0</v>
      </c>
      <c r="M13" s="35"/>
      <c r="N13" s="35"/>
      <c r="O13" s="39"/>
      <c r="P13" s="39"/>
    </row>
    <row r="14" spans="1:16">
      <c r="A14" s="40" t="s">
        <v>20</v>
      </c>
      <c r="B14" s="41">
        <v>145392556</v>
      </c>
      <c r="C14" s="46">
        <v>157026822.02000001</v>
      </c>
      <c r="D14" s="42">
        <f t="shared" si="0"/>
        <v>8.0019681475302029E-2</v>
      </c>
      <c r="E14" s="43">
        <v>172500001</v>
      </c>
      <c r="F14" s="44">
        <f t="shared" si="2"/>
        <v>0.186443142247255</v>
      </c>
      <c r="G14" s="46">
        <v>153073722.77719998</v>
      </c>
      <c r="H14" s="42">
        <f t="shared" si="3"/>
        <v>5.2830536779338244E-2</v>
      </c>
      <c r="I14" s="43">
        <v>170166618</v>
      </c>
      <c r="J14" s="45">
        <f t="shared" si="4"/>
        <v>0.17039429446442922</v>
      </c>
      <c r="K14" s="44">
        <f t="shared" si="1"/>
        <v>-0.10044799281842698</v>
      </c>
      <c r="M14" s="35"/>
      <c r="N14" s="35"/>
      <c r="O14" s="39"/>
      <c r="P14" s="39"/>
    </row>
    <row r="15" spans="1:16">
      <c r="A15" s="40" t="s">
        <v>21</v>
      </c>
      <c r="B15" s="41">
        <v>11010104</v>
      </c>
      <c r="C15" s="46">
        <v>161749250.72</v>
      </c>
      <c r="D15" s="42">
        <f t="shared" si="0"/>
        <v>13.690983002522048</v>
      </c>
      <c r="E15" s="43">
        <v>163289782</v>
      </c>
      <c r="F15" s="44">
        <f t="shared" si="2"/>
        <v>13.830902778030071</v>
      </c>
      <c r="G15" s="46">
        <v>160517322.71439999</v>
      </c>
      <c r="H15" s="42">
        <f t="shared" si="3"/>
        <v>13.579092324141534</v>
      </c>
      <c r="I15" s="43">
        <v>161973091</v>
      </c>
      <c r="J15" s="45">
        <f t="shared" si="4"/>
        <v>13.711313444450662</v>
      </c>
      <c r="K15" s="44">
        <f t="shared" si="1"/>
        <v>-8.9877168893442994E-3</v>
      </c>
      <c r="M15" s="35"/>
      <c r="N15" s="35"/>
      <c r="O15" s="39"/>
      <c r="P15" s="39"/>
    </row>
    <row r="16" spans="1:16">
      <c r="A16" s="40" t="s">
        <v>22</v>
      </c>
      <c r="B16" s="41">
        <v>112253076</v>
      </c>
      <c r="C16" s="46">
        <v>118459869.02000001</v>
      </c>
      <c r="D16" s="42">
        <f t="shared" si="0"/>
        <v>5.5292854692017723E-2</v>
      </c>
      <c r="E16" s="43">
        <v>146130412</v>
      </c>
      <c r="F16" s="44">
        <f t="shared" si="2"/>
        <v>0.30179427777996914</v>
      </c>
      <c r="G16" s="46">
        <v>116660115.69599998</v>
      </c>
      <c r="H16" s="42">
        <f t="shared" si="3"/>
        <v>3.9259856861294296E-2</v>
      </c>
      <c r="I16" s="43">
        <v>141227357</v>
      </c>
      <c r="J16" s="45">
        <f t="shared" si="4"/>
        <v>0.25811569742641183</v>
      </c>
      <c r="K16" s="44">
        <f t="shared" si="1"/>
        <v>-0.17395525786126564</v>
      </c>
      <c r="M16" s="35"/>
      <c r="N16" s="35"/>
      <c r="O16" s="39"/>
      <c r="P16" s="39"/>
    </row>
    <row r="17" spans="1:16">
      <c r="A17" s="40" t="s">
        <v>23</v>
      </c>
      <c r="B17" s="41">
        <v>97735661</v>
      </c>
      <c r="C17" s="46">
        <v>117451219.94</v>
      </c>
      <c r="D17" s="42">
        <f t="shared" si="0"/>
        <v>0.20172328849343946</v>
      </c>
      <c r="E17" s="43">
        <v>130204088</v>
      </c>
      <c r="F17" s="44">
        <f t="shared" si="2"/>
        <v>0.33220655252948061</v>
      </c>
      <c r="G17" s="46">
        <v>108801471.37439999</v>
      </c>
      <c r="H17" s="42">
        <f t="shared" si="3"/>
        <v>0.11322182979250517</v>
      </c>
      <c r="I17" s="43">
        <v>124081812</v>
      </c>
      <c r="J17" s="45">
        <f t="shared" si="4"/>
        <v>0.26956538412320152</v>
      </c>
      <c r="K17" s="44">
        <f t="shared" si="1"/>
        <v>-0.12314730401906127</v>
      </c>
      <c r="M17" s="35"/>
      <c r="N17" s="35"/>
      <c r="O17" s="39"/>
      <c r="P17" s="39"/>
    </row>
    <row r="18" spans="1:16">
      <c r="A18" s="40" t="s">
        <v>24</v>
      </c>
      <c r="B18" s="41">
        <v>284002926</v>
      </c>
      <c r="C18" s="46">
        <v>295272351</v>
      </c>
      <c r="D18" s="42">
        <f t="shared" si="0"/>
        <v>3.9680665121034631E-2</v>
      </c>
      <c r="E18" s="43">
        <v>298168129</v>
      </c>
      <c r="F18" s="44">
        <f t="shared" si="2"/>
        <v>4.9876961478910964E-2</v>
      </c>
      <c r="G18" s="46">
        <v>300956879.81999999</v>
      </c>
      <c r="H18" s="42">
        <f t="shared" si="3"/>
        <v>5.9696405451822754E-2</v>
      </c>
      <c r="I18" s="43">
        <v>305517754</v>
      </c>
      <c r="J18" s="45">
        <f t="shared" si="4"/>
        <v>7.5755656123064119E-2</v>
      </c>
      <c r="K18" s="44">
        <f t="shared" si="1"/>
        <v>-1.492834416424782E-2</v>
      </c>
      <c r="M18" s="35"/>
      <c r="N18" s="35"/>
      <c r="O18" s="39"/>
      <c r="P18" s="39"/>
    </row>
    <row r="19" spans="1:16">
      <c r="A19" s="47" t="s">
        <v>25</v>
      </c>
      <c r="B19" s="41">
        <v>0</v>
      </c>
      <c r="C19" s="46"/>
      <c r="D19" s="42"/>
      <c r="E19" s="43"/>
      <c r="F19" s="44"/>
      <c r="G19" s="46"/>
      <c r="H19" s="42"/>
      <c r="I19" s="43"/>
      <c r="J19" s="45"/>
      <c r="K19" s="44"/>
      <c r="M19" s="35"/>
      <c r="N19" s="35"/>
      <c r="O19" s="39"/>
      <c r="P19" s="39"/>
    </row>
    <row r="20" spans="1:16">
      <c r="A20" s="40" t="s">
        <v>26</v>
      </c>
      <c r="B20" s="41">
        <v>1582307419</v>
      </c>
      <c r="C20" s="46">
        <v>1856088884</v>
      </c>
      <c r="D20" s="42">
        <f t="shared" si="0"/>
        <v>0.17302672142751296</v>
      </c>
      <c r="E20" s="43">
        <v>2166462114</v>
      </c>
      <c r="F20" s="44">
        <f t="shared" ref="F20:F25" si="5">E20/B20-1</f>
        <v>0.36917901539586984</v>
      </c>
      <c r="G20" s="46">
        <v>1825559478</v>
      </c>
      <c r="H20" s="42">
        <f t="shared" ref="H20:H25" si="6">G20/B20-1</f>
        <v>0.15373248970401243</v>
      </c>
      <c r="I20" s="43">
        <v>2228500169</v>
      </c>
      <c r="J20" s="45">
        <f t="shared" ref="J20:J25" si="7">I20/B20-1</f>
        <v>0.40838634910047156</v>
      </c>
      <c r="K20" s="44">
        <f t="shared" si="1"/>
        <v>-0.18081250188139431</v>
      </c>
      <c r="M20" s="35"/>
      <c r="N20" s="35"/>
      <c r="O20" s="39"/>
      <c r="P20" s="39"/>
    </row>
    <row r="21" spans="1:16">
      <c r="A21" s="40" t="s">
        <v>1583</v>
      </c>
      <c r="B21" s="41">
        <v>185574787</v>
      </c>
      <c r="C21" s="46">
        <v>160351952.09999999</v>
      </c>
      <c r="D21" s="42">
        <f t="shared" si="0"/>
        <v>-0.13591735875197319</v>
      </c>
      <c r="E21" s="43">
        <v>161928014</v>
      </c>
      <c r="F21" s="44">
        <f t="shared" si="5"/>
        <v>-0.12742449220755403</v>
      </c>
      <c r="G21" s="46">
        <v>157636972.43520001</v>
      </c>
      <c r="H21" s="42">
        <f t="shared" si="6"/>
        <v>-0.1505474693865605</v>
      </c>
      <c r="I21" s="43">
        <v>159930748</v>
      </c>
      <c r="J21" s="45">
        <f t="shared" si="7"/>
        <v>-0.13818708572732996</v>
      </c>
      <c r="K21" s="44">
        <f t="shared" si="1"/>
        <v>-1.4342304988156473E-2</v>
      </c>
      <c r="M21" s="35"/>
      <c r="N21" s="35"/>
      <c r="O21" s="39"/>
      <c r="P21" s="39"/>
    </row>
    <row r="22" spans="1:16">
      <c r="A22" s="40" t="s">
        <v>1584</v>
      </c>
      <c r="B22" s="41">
        <v>3098842069</v>
      </c>
      <c r="C22" s="41">
        <v>4656303957.5199995</v>
      </c>
      <c r="D22" s="42">
        <f t="shared" si="0"/>
        <v>0.50259479310044175</v>
      </c>
      <c r="E22" s="43">
        <v>4716068253</v>
      </c>
      <c r="F22" s="44">
        <f t="shared" si="5"/>
        <v>0.52188080192220987</v>
      </c>
      <c r="G22" s="43">
        <v>4769202305.8504</v>
      </c>
      <c r="H22" s="42">
        <f t="shared" si="6"/>
        <v>0.53902722360724464</v>
      </c>
      <c r="I22" s="43">
        <v>4850396363</v>
      </c>
      <c r="J22" s="45">
        <f t="shared" si="7"/>
        <v>0.56522864186016064</v>
      </c>
      <c r="K22" s="44">
        <f t="shared" si="1"/>
        <v>-1.6739674672562432E-2</v>
      </c>
      <c r="M22" s="35"/>
      <c r="N22" s="35"/>
      <c r="O22" s="39"/>
      <c r="P22" s="39"/>
    </row>
    <row r="23" spans="1:16">
      <c r="A23" s="40" t="s">
        <v>1585</v>
      </c>
      <c r="B23" s="41">
        <v>123885999</v>
      </c>
      <c r="C23" s="46">
        <v>158485717.40000001</v>
      </c>
      <c r="D23" s="42">
        <f t="shared" si="0"/>
        <v>0.27928675297682348</v>
      </c>
      <c r="E23" s="43">
        <v>161797620</v>
      </c>
      <c r="F23" s="44">
        <f t="shared" si="5"/>
        <v>0.30602022267262008</v>
      </c>
      <c r="G23" s="46">
        <v>158279469.54800001</v>
      </c>
      <c r="H23" s="42">
        <f t="shared" si="6"/>
        <v>0.27762193327431617</v>
      </c>
      <c r="I23" s="43">
        <v>164331269</v>
      </c>
      <c r="J23" s="45">
        <f t="shared" si="7"/>
        <v>0.32647167820796286</v>
      </c>
      <c r="K23" s="44">
        <f t="shared" si="1"/>
        <v>-3.6826828447360183E-2</v>
      </c>
      <c r="M23" s="35"/>
      <c r="N23" s="35"/>
      <c r="O23" s="39"/>
      <c r="P23" s="39"/>
    </row>
    <row r="24" spans="1:16">
      <c r="A24" s="40" t="s">
        <v>1586</v>
      </c>
      <c r="B24" s="41">
        <v>189308772</v>
      </c>
      <c r="C24" s="46">
        <v>206357312.25999999</v>
      </c>
      <c r="D24" s="42">
        <f t="shared" si="0"/>
        <v>9.0056789655790448E-2</v>
      </c>
      <c r="E24" s="43">
        <v>216460876</v>
      </c>
      <c r="F24" s="44">
        <f t="shared" si="5"/>
        <v>0.14342760619671657</v>
      </c>
      <c r="G24" s="46">
        <v>203528460.91719997</v>
      </c>
      <c r="H24" s="42">
        <f t="shared" si="6"/>
        <v>7.5113734915569497E-2</v>
      </c>
      <c r="I24" s="43">
        <v>217827761</v>
      </c>
      <c r="J24" s="45">
        <f t="shared" si="7"/>
        <v>0.15064800589377869</v>
      </c>
      <c r="K24" s="44">
        <f t="shared" si="1"/>
        <v>-6.5644984905298798E-2</v>
      </c>
      <c r="M24" s="35"/>
      <c r="N24" s="35"/>
      <c r="O24" s="39"/>
      <c r="P24" s="39"/>
    </row>
    <row r="25" spans="1:16">
      <c r="A25" s="40" t="s">
        <v>27</v>
      </c>
      <c r="B25" s="41">
        <v>26393917</v>
      </c>
      <c r="C25" s="46">
        <v>27977552.02</v>
      </c>
      <c r="D25" s="42">
        <f t="shared" si="0"/>
        <v>6.0000000000000053E-2</v>
      </c>
      <c r="E25" s="43">
        <v>30904611</v>
      </c>
      <c r="F25" s="44">
        <f t="shared" si="5"/>
        <v>0.1708989991898513</v>
      </c>
      <c r="G25" s="46">
        <v>28537103.060400002</v>
      </c>
      <c r="H25" s="42">
        <f t="shared" si="6"/>
        <v>8.1200000000000161E-2</v>
      </c>
      <c r="I25" s="43">
        <v>30623013</v>
      </c>
      <c r="J25" s="45">
        <f t="shared" si="7"/>
        <v>0.16022994995399897</v>
      </c>
      <c r="K25" s="44">
        <f t="shared" si="1"/>
        <v>-6.8115764428536063E-2</v>
      </c>
      <c r="M25" s="35"/>
      <c r="N25" s="35"/>
      <c r="O25" s="39"/>
      <c r="P25" s="39"/>
    </row>
    <row r="26" spans="1:16">
      <c r="A26" s="36" t="s">
        <v>28</v>
      </c>
      <c r="B26" s="41"/>
      <c r="C26" s="46">
        <v>8730096.0600000005</v>
      </c>
      <c r="D26" s="42"/>
      <c r="E26" s="43">
        <v>34832187</v>
      </c>
      <c r="F26" s="44"/>
      <c r="G26" s="46">
        <v>8843322.1412000004</v>
      </c>
      <c r="H26" s="42"/>
      <c r="I26" s="43">
        <v>34948241</v>
      </c>
      <c r="J26" s="45"/>
      <c r="K26" s="44">
        <f t="shared" si="1"/>
        <v>-0.74695944951278093</v>
      </c>
      <c r="M26" s="35"/>
      <c r="N26" s="35"/>
      <c r="O26" s="39"/>
      <c r="P26" s="39"/>
    </row>
    <row r="27" spans="1:16">
      <c r="A27" s="40" t="s">
        <v>1587</v>
      </c>
      <c r="B27" s="41">
        <v>565376101</v>
      </c>
      <c r="C27" s="46">
        <v>746094797.58000004</v>
      </c>
      <c r="D27" s="42">
        <f t="shared" si="0"/>
        <v>0.31964332461233624</v>
      </c>
      <c r="E27" s="43">
        <v>748678159</v>
      </c>
      <c r="F27" s="44">
        <f>E27/B27-1</f>
        <v>0.32421260409802843</v>
      </c>
      <c r="G27" s="46">
        <v>798802441.89160001</v>
      </c>
      <c r="H27" s="42">
        <f>G27/B27-1</f>
        <v>0.41286913344715304</v>
      </c>
      <c r="I27" s="43">
        <v>800735563</v>
      </c>
      <c r="J27" s="45">
        <f>I27/B27-1</f>
        <v>0.41628831070806083</v>
      </c>
      <c r="K27" s="44">
        <f t="shared" si="1"/>
        <v>-2.4141816571221497E-3</v>
      </c>
      <c r="M27" s="35"/>
      <c r="N27" s="35"/>
      <c r="O27" s="39"/>
      <c r="P27" s="39"/>
    </row>
    <row r="28" spans="1:16">
      <c r="A28" s="36" t="s">
        <v>29</v>
      </c>
      <c r="B28" s="41"/>
      <c r="C28" s="46">
        <v>30088316</v>
      </c>
      <c r="D28" s="42"/>
      <c r="E28" s="43">
        <v>30088316</v>
      </c>
      <c r="F28" s="44"/>
      <c r="G28" s="46">
        <v>30292913</v>
      </c>
      <c r="H28" s="42"/>
      <c r="I28" s="43">
        <v>30292913</v>
      </c>
      <c r="J28" s="45"/>
      <c r="K28" s="44">
        <f t="shared" si="1"/>
        <v>0</v>
      </c>
      <c r="M28" s="35"/>
      <c r="N28" s="35"/>
      <c r="O28" s="39"/>
      <c r="P28" s="39"/>
    </row>
    <row r="29" spans="1:16">
      <c r="A29" s="40" t="s">
        <v>30</v>
      </c>
      <c r="B29" s="41">
        <v>62933978</v>
      </c>
      <c r="C29" s="46">
        <v>43397479.460000001</v>
      </c>
      <c r="D29" s="42">
        <f t="shared" si="0"/>
        <v>-0.31042847061089951</v>
      </c>
      <c r="E29" s="43">
        <v>43519888</v>
      </c>
      <c r="F29" s="44">
        <f>E29/B29-1</f>
        <v>-0.30848343958171531</v>
      </c>
      <c r="G29" s="46">
        <v>43111575.009199999</v>
      </c>
      <c r="H29" s="42">
        <f>G29/B29-1</f>
        <v>-0.31497139733960566</v>
      </c>
      <c r="I29" s="43">
        <v>43143285</v>
      </c>
      <c r="J29" s="45">
        <f>I29/B29-1</f>
        <v>-0.31446753612174327</v>
      </c>
      <c r="K29" s="44">
        <f t="shared" si="1"/>
        <v>-7.3499249767372543E-4</v>
      </c>
      <c r="M29" s="35"/>
      <c r="N29" s="35"/>
      <c r="O29" s="39"/>
      <c r="P29" s="39"/>
    </row>
    <row r="30" spans="1:16">
      <c r="A30" s="40" t="s">
        <v>31</v>
      </c>
      <c r="B30" s="41">
        <v>61713682</v>
      </c>
      <c r="C30" s="46">
        <v>61095367.420000002</v>
      </c>
      <c r="D30" s="42">
        <f t="shared" si="0"/>
        <v>-1.0019084260764033E-2</v>
      </c>
      <c r="E30" s="43">
        <v>61740505</v>
      </c>
      <c r="F30" s="44">
        <f>E30/B30-1</f>
        <v>4.3463619623285155E-4</v>
      </c>
      <c r="G30" s="46">
        <v>61960645.648400001</v>
      </c>
      <c r="H30" s="42">
        <f>G30/B30-1</f>
        <v>4.001764931154117E-3</v>
      </c>
      <c r="I30" s="43">
        <v>62196561</v>
      </c>
      <c r="J30" s="45">
        <f>I30/B30-1</f>
        <v>7.8245047832343761E-3</v>
      </c>
      <c r="K30" s="44">
        <f t="shared" si="1"/>
        <v>-3.7930610279239829E-3</v>
      </c>
      <c r="M30" s="35"/>
      <c r="N30" s="35"/>
      <c r="O30" s="39"/>
      <c r="P30" s="39"/>
    </row>
    <row r="31" spans="1:16">
      <c r="A31" s="40" t="s">
        <v>32</v>
      </c>
      <c r="B31" s="41">
        <v>12944785</v>
      </c>
      <c r="C31" s="46">
        <v>8277283.7000000002</v>
      </c>
      <c r="D31" s="42">
        <f t="shared" si="0"/>
        <v>-0.36057001332969218</v>
      </c>
      <c r="E31" s="43">
        <v>25725752</v>
      </c>
      <c r="F31" s="44">
        <f>E31/B31-1</f>
        <v>0.98734486513294728</v>
      </c>
      <c r="G31" s="46">
        <v>8433237.1740000006</v>
      </c>
      <c r="H31" s="42">
        <f>G31/B31-1</f>
        <v>-0.3485224224272554</v>
      </c>
      <c r="I31" s="43">
        <v>27222167</v>
      </c>
      <c r="J31" s="45">
        <f>I31/B31-1</f>
        <v>1.1029446993519012</v>
      </c>
      <c r="K31" s="44">
        <f t="shared" si="1"/>
        <v>-0.69020698557906868</v>
      </c>
      <c r="M31" s="35"/>
      <c r="N31" s="35"/>
      <c r="O31" s="39"/>
      <c r="P31" s="39"/>
    </row>
    <row r="32" spans="1:16">
      <c r="A32" s="36" t="s">
        <v>33</v>
      </c>
      <c r="B32" s="41"/>
      <c r="C32" s="46">
        <v>5940171</v>
      </c>
      <c r="D32" s="42"/>
      <c r="E32" s="43">
        <v>48520715</v>
      </c>
      <c r="F32" s="44"/>
      <c r="G32" s="46">
        <v>5902494</v>
      </c>
      <c r="H32" s="42"/>
      <c r="I32" s="43">
        <v>40087359</v>
      </c>
      <c r="J32" s="45"/>
      <c r="K32" s="44">
        <f t="shared" si="1"/>
        <v>-0.85275922018210282</v>
      </c>
      <c r="M32" s="35"/>
      <c r="N32" s="35"/>
      <c r="O32" s="39"/>
      <c r="P32" s="39"/>
    </row>
    <row r="33" spans="1:16">
      <c r="A33" s="36" t="s">
        <v>34</v>
      </c>
      <c r="B33" s="41"/>
      <c r="C33" s="46">
        <v>59890221</v>
      </c>
      <c r="D33" s="42"/>
      <c r="E33" s="43">
        <v>62976449</v>
      </c>
      <c r="F33" s="44"/>
      <c r="G33" s="46">
        <v>59847877.5</v>
      </c>
      <c r="H33" s="42"/>
      <c r="I33" s="43">
        <v>61834258</v>
      </c>
      <c r="J33" s="45"/>
      <c r="K33" s="44">
        <f t="shared" si="1"/>
        <v>-3.2124271629490608E-2</v>
      </c>
      <c r="M33" s="35"/>
      <c r="N33" s="35"/>
      <c r="O33" s="39"/>
      <c r="P33" s="39"/>
    </row>
    <row r="34" spans="1:16">
      <c r="A34" s="40" t="s">
        <v>35</v>
      </c>
      <c r="B34" s="41">
        <v>684187</v>
      </c>
      <c r="C34" s="46">
        <v>725238.22000000009</v>
      </c>
      <c r="D34" s="42">
        <f t="shared" si="0"/>
        <v>6.0000000000000053E-2</v>
      </c>
      <c r="E34" s="43">
        <v>837860</v>
      </c>
      <c r="F34" s="44">
        <f>E34/B34-1</f>
        <v>0.22460672301578377</v>
      </c>
      <c r="G34" s="46">
        <v>739742.98440000007</v>
      </c>
      <c r="H34" s="42">
        <f>G34/B34-1</f>
        <v>8.1200000000000161E-2</v>
      </c>
      <c r="I34" s="43">
        <v>792436</v>
      </c>
      <c r="J34" s="45">
        <f>I34/B34-1</f>
        <v>0.15821551710278037</v>
      </c>
      <c r="K34" s="44">
        <f t="shared" si="1"/>
        <v>-6.6494979531469989E-2</v>
      </c>
      <c r="M34" s="35"/>
      <c r="N34" s="35"/>
      <c r="O34" s="39"/>
      <c r="P34" s="39"/>
    </row>
    <row r="35" spans="1:16">
      <c r="A35" s="40" t="s">
        <v>162</v>
      </c>
      <c r="B35" s="41">
        <v>32463644</v>
      </c>
      <c r="C35" s="46">
        <v>33119370.460000001</v>
      </c>
      <c r="D35" s="42">
        <f t="shared" si="0"/>
        <v>2.0198794072532333E-2</v>
      </c>
      <c r="E35" s="43">
        <v>35346572</v>
      </c>
      <c r="F35" s="44">
        <f>E35/B35-1</f>
        <v>8.8804818091277715E-2</v>
      </c>
      <c r="G35" s="46">
        <v>34341813.989199996</v>
      </c>
      <c r="H35" s="42">
        <f>G35/B35-1</f>
        <v>5.7854564607719317E-2</v>
      </c>
      <c r="I35" s="43">
        <v>34674905</v>
      </c>
      <c r="J35" s="45">
        <f>I35/B35-1</f>
        <v>6.8114996578942266E-2</v>
      </c>
      <c r="K35" s="44">
        <f t="shared" si="1"/>
        <v>-9.6061117052809175E-3</v>
      </c>
      <c r="M35" s="35"/>
      <c r="N35" s="35"/>
      <c r="O35" s="39"/>
      <c r="P35" s="39"/>
    </row>
    <row r="36" spans="1:16">
      <c r="A36" s="40" t="s">
        <v>36</v>
      </c>
      <c r="B36" s="41">
        <v>495045</v>
      </c>
      <c r="C36" s="46">
        <v>502763</v>
      </c>
      <c r="D36" s="42">
        <f t="shared" si="0"/>
        <v>1.5590501873567142E-2</v>
      </c>
      <c r="E36" s="43">
        <v>552817</v>
      </c>
      <c r="F36" s="44">
        <f>E36/B36-1</f>
        <v>0.11670050197456794</v>
      </c>
      <c r="G36" s="46">
        <v>512818.26</v>
      </c>
      <c r="H36" s="42">
        <f>G36/B36-1</f>
        <v>3.5902311911038431E-2</v>
      </c>
      <c r="I36" s="43">
        <v>587758</v>
      </c>
      <c r="J36" s="45">
        <f>I36/B36-1</f>
        <v>0.18728196426587473</v>
      </c>
      <c r="K36" s="44">
        <f t="shared" si="1"/>
        <v>-0.12750101232139754</v>
      </c>
      <c r="M36" s="35"/>
      <c r="N36" s="35"/>
      <c r="O36" s="39"/>
      <c r="P36" s="39"/>
    </row>
    <row r="37" spans="1:16">
      <c r="A37" s="40" t="s">
        <v>1588</v>
      </c>
      <c r="B37" s="41">
        <v>625262321</v>
      </c>
      <c r="C37" s="46">
        <v>729563789.39555573</v>
      </c>
      <c r="D37" s="42">
        <f t="shared" si="0"/>
        <v>0.166812336026811</v>
      </c>
      <c r="E37" s="43">
        <v>808012534</v>
      </c>
      <c r="F37" s="44">
        <f>E37/B37-1</f>
        <v>0.29227766788781118</v>
      </c>
      <c r="G37" s="46">
        <v>760071244.33209407</v>
      </c>
      <c r="H37" s="42">
        <f>G37/B37-1</f>
        <v>0.21560378549036874</v>
      </c>
      <c r="I37" s="43">
        <v>828776828</v>
      </c>
      <c r="J37" s="45">
        <f>I37/B37-1</f>
        <v>0.32548660004734242</v>
      </c>
      <c r="K37" s="44">
        <f t="shared" si="1"/>
        <v>-8.2899981450622717E-2</v>
      </c>
      <c r="M37" s="35"/>
      <c r="N37" s="35"/>
      <c r="O37" s="39"/>
      <c r="P37" s="39"/>
    </row>
    <row r="38" spans="1:16">
      <c r="A38" s="47" t="s">
        <v>37</v>
      </c>
      <c r="B38" s="41">
        <v>20070941</v>
      </c>
      <c r="C38" s="46"/>
      <c r="D38" s="41"/>
      <c r="E38" s="43"/>
      <c r="F38" s="44"/>
      <c r="G38" s="46"/>
      <c r="H38" s="42"/>
      <c r="I38" s="43"/>
      <c r="J38" s="45"/>
      <c r="K38" s="44"/>
      <c r="M38" s="35"/>
      <c r="N38" s="35"/>
      <c r="O38" s="39"/>
      <c r="P38" s="39"/>
    </row>
    <row r="39" spans="1:16">
      <c r="A39" s="40" t="s">
        <v>38</v>
      </c>
      <c r="B39" s="41">
        <v>749353281</v>
      </c>
      <c r="C39" s="46">
        <v>731980407</v>
      </c>
      <c r="D39" s="42">
        <f t="shared" si="0"/>
        <v>-2.3183823225296551E-2</v>
      </c>
      <c r="E39" s="43">
        <v>731980407</v>
      </c>
      <c r="F39" s="44">
        <f>E39/B39-1</f>
        <v>-2.3183823225296551E-2</v>
      </c>
      <c r="G39" s="46">
        <v>697317666</v>
      </c>
      <c r="H39" s="42">
        <f>G39/B39-1</f>
        <v>-6.9440698158496517E-2</v>
      </c>
      <c r="I39" s="43">
        <v>697403827</v>
      </c>
      <c r="J39" s="45">
        <f>I39/B39-1</f>
        <v>-6.9325717678415E-2</v>
      </c>
      <c r="K39" s="44">
        <f t="shared" si="1"/>
        <v>-1.2354535014613699E-4</v>
      </c>
      <c r="M39" s="35"/>
      <c r="N39" s="35"/>
      <c r="O39" s="39"/>
      <c r="P39" s="39"/>
    </row>
    <row r="40" spans="1:16">
      <c r="A40" s="40" t="s">
        <v>1590</v>
      </c>
      <c r="B40" s="41">
        <v>10629127</v>
      </c>
      <c r="C40" s="46">
        <v>10350217.5</v>
      </c>
      <c r="D40" s="42">
        <f t="shared" si="0"/>
        <v>-2.6240113604814375E-2</v>
      </c>
      <c r="E40" s="43">
        <v>10949444</v>
      </c>
      <c r="F40" s="44">
        <f>E40/B40-1</f>
        <v>3.0135776908112977E-2</v>
      </c>
      <c r="G40" s="46">
        <v>10609475.57</v>
      </c>
      <c r="H40" s="42">
        <f>G40/B40-1</f>
        <v>-1.8488282245568977E-3</v>
      </c>
      <c r="I40" s="43">
        <v>11183323</v>
      </c>
      <c r="J40" s="45">
        <f>I40/B40-1</f>
        <v>5.2139371370762522E-2</v>
      </c>
      <c r="K40" s="44">
        <f t="shared" si="1"/>
        <v>-5.1312783329248379E-2</v>
      </c>
      <c r="M40" s="35"/>
      <c r="N40" s="35"/>
      <c r="O40" s="39"/>
      <c r="P40" s="39"/>
    </row>
    <row r="41" spans="1:16">
      <c r="A41" s="40" t="s">
        <v>1591</v>
      </c>
      <c r="B41" s="41">
        <v>13038813</v>
      </c>
      <c r="C41" s="46">
        <v>14689459</v>
      </c>
      <c r="D41" s="42">
        <f t="shared" si="0"/>
        <v>0.12659480583086813</v>
      </c>
      <c r="E41" s="43">
        <v>14689459</v>
      </c>
      <c r="F41" s="44">
        <f>E41/B41-1</f>
        <v>0.12659480583086813</v>
      </c>
      <c r="G41" s="46">
        <v>14082116</v>
      </c>
      <c r="H41" s="42">
        <f>G41/B41-1</f>
        <v>8.0015182363609272E-2</v>
      </c>
      <c r="I41" s="43">
        <v>14082116</v>
      </c>
      <c r="J41" s="45">
        <f>I41/B41-1</f>
        <v>8.0015182363609272E-2</v>
      </c>
      <c r="K41" s="44">
        <f t="shared" si="1"/>
        <v>0</v>
      </c>
      <c r="M41" s="35"/>
      <c r="N41" s="35"/>
      <c r="O41" s="39"/>
      <c r="P41" s="39"/>
    </row>
    <row r="42" spans="1:16">
      <c r="A42" s="47" t="s">
        <v>40</v>
      </c>
      <c r="B42" s="41">
        <v>0</v>
      </c>
      <c r="C42" s="46"/>
      <c r="D42" s="42"/>
      <c r="E42" s="43"/>
      <c r="F42" s="44"/>
      <c r="G42" s="46"/>
      <c r="H42" s="42"/>
      <c r="I42" s="43"/>
      <c r="J42" s="45"/>
      <c r="K42" s="44"/>
      <c r="M42" s="35"/>
      <c r="N42" s="35"/>
      <c r="O42" s="39"/>
      <c r="P42" s="39"/>
    </row>
    <row r="43" spans="1:16">
      <c r="A43" s="40" t="s">
        <v>41</v>
      </c>
      <c r="B43" s="41">
        <v>17142379</v>
      </c>
      <c r="C43" s="46">
        <v>13438293.26</v>
      </c>
      <c r="D43" s="42">
        <f t="shared" si="0"/>
        <v>-0.21607769493370788</v>
      </c>
      <c r="E43" s="43">
        <v>22859764</v>
      </c>
      <c r="F43" s="44">
        <f>E43/B43-1</f>
        <v>0.333523427524266</v>
      </c>
      <c r="G43" s="46">
        <v>12910069.1052</v>
      </c>
      <c r="H43" s="42">
        <f>G43/B43-1</f>
        <v>-0.24689163008238235</v>
      </c>
      <c r="I43" s="43">
        <v>25478756</v>
      </c>
      <c r="J43" s="45">
        <f>I43/B43-1</f>
        <v>0.48630222211281171</v>
      </c>
      <c r="K43" s="44">
        <f t="shared" si="1"/>
        <v>-0.49330064995323952</v>
      </c>
      <c r="M43" s="35"/>
      <c r="N43" s="35"/>
      <c r="O43" s="39"/>
      <c r="P43" s="39"/>
    </row>
    <row r="44" spans="1:16">
      <c r="A44" s="36" t="s">
        <v>42</v>
      </c>
      <c r="B44" s="41"/>
      <c r="C44" s="46">
        <v>0</v>
      </c>
      <c r="D44" s="42"/>
      <c r="E44" s="43">
        <v>7517597</v>
      </c>
      <c r="F44" s="44"/>
      <c r="G44" s="46">
        <v>0</v>
      </c>
      <c r="H44" s="42"/>
      <c r="I44" s="43">
        <v>7898955</v>
      </c>
      <c r="J44" s="45"/>
      <c r="K44" s="44">
        <f t="shared" si="1"/>
        <v>-1</v>
      </c>
      <c r="M44" s="35"/>
      <c r="N44" s="35"/>
      <c r="O44" s="39"/>
      <c r="P44" s="39"/>
    </row>
    <row r="45" spans="1:16">
      <c r="A45" s="36" t="s">
        <v>43</v>
      </c>
      <c r="B45" s="41"/>
      <c r="C45" s="46">
        <v>8934678</v>
      </c>
      <c r="D45" s="42"/>
      <c r="E45" s="43">
        <v>8934678</v>
      </c>
      <c r="F45" s="44"/>
      <c r="G45" s="46">
        <v>9721524</v>
      </c>
      <c r="H45" s="42"/>
      <c r="I45" s="43">
        <v>9721524</v>
      </c>
      <c r="J45" s="45"/>
      <c r="K45" s="44">
        <f t="shared" si="1"/>
        <v>0</v>
      </c>
      <c r="M45" s="35"/>
      <c r="N45" s="35"/>
      <c r="O45" s="39"/>
      <c r="P45" s="39"/>
    </row>
    <row r="46" spans="1:16">
      <c r="A46" s="47" t="s">
        <v>44</v>
      </c>
      <c r="B46" s="41">
        <v>67013996</v>
      </c>
      <c r="C46" s="46"/>
      <c r="D46" s="42"/>
      <c r="E46" s="43"/>
      <c r="F46" s="44"/>
      <c r="G46" s="46"/>
      <c r="H46" s="42"/>
      <c r="I46" s="43"/>
      <c r="J46" s="45"/>
      <c r="K46" s="44"/>
      <c r="M46" s="35"/>
      <c r="N46" s="35"/>
      <c r="O46" s="39"/>
      <c r="P46" s="39"/>
    </row>
    <row r="47" spans="1:16">
      <c r="A47" s="40" t="s">
        <v>1592</v>
      </c>
      <c r="B47" s="41">
        <v>11634159</v>
      </c>
      <c r="C47" s="46">
        <v>17168859</v>
      </c>
      <c r="D47" s="42">
        <f t="shared" si="0"/>
        <v>0.47572841320116055</v>
      </c>
      <c r="E47" s="43">
        <v>17168859</v>
      </c>
      <c r="F47" s="44">
        <f>E47/B47-1</f>
        <v>0.47572841320116055</v>
      </c>
      <c r="G47" s="46">
        <v>16528859</v>
      </c>
      <c r="H47" s="42">
        <f>G47/B47-1</f>
        <v>0.4207179908749743</v>
      </c>
      <c r="I47" s="43">
        <v>16528859</v>
      </c>
      <c r="J47" s="45">
        <f>I47/B47-1</f>
        <v>0.4207179908749743</v>
      </c>
      <c r="K47" s="44">
        <f t="shared" si="1"/>
        <v>0</v>
      </c>
      <c r="M47" s="35"/>
      <c r="N47" s="35"/>
      <c r="O47" s="39"/>
      <c r="P47" s="39"/>
    </row>
    <row r="48" spans="1:16">
      <c r="A48" s="40" t="s">
        <v>46</v>
      </c>
      <c r="B48" s="41">
        <v>396913075</v>
      </c>
      <c r="C48" s="46">
        <v>328865036</v>
      </c>
      <c r="D48" s="42">
        <f t="shared" si="0"/>
        <v>-0.17144317808124609</v>
      </c>
      <c r="E48" s="43">
        <v>353797726</v>
      </c>
      <c r="F48" s="44">
        <f>E48/B48-1</f>
        <v>-0.10862667852400676</v>
      </c>
      <c r="G48" s="46">
        <v>330490816</v>
      </c>
      <c r="H48" s="42">
        <f>G48/B48-1</f>
        <v>-0.16734711750173514</v>
      </c>
      <c r="I48" s="43">
        <v>365424790</v>
      </c>
      <c r="J48" s="45">
        <f>I48/B48-1</f>
        <v>-7.9332949664104646E-2</v>
      </c>
      <c r="K48" s="44">
        <f t="shared" si="1"/>
        <v>-9.5598259767762372E-2</v>
      </c>
      <c r="M48" s="35"/>
      <c r="N48" s="35"/>
      <c r="O48" s="39"/>
      <c r="P48" s="39"/>
    </row>
    <row r="49" spans="1:16">
      <c r="A49" s="36" t="s">
        <v>47</v>
      </c>
      <c r="B49" s="41"/>
      <c r="C49" s="46">
        <v>1455071</v>
      </c>
      <c r="D49" s="42"/>
      <c r="E49" s="43">
        <v>1455071</v>
      </c>
      <c r="F49" s="44"/>
      <c r="G49" s="46">
        <v>1494458</v>
      </c>
      <c r="H49" s="42"/>
      <c r="I49" s="43">
        <v>1494458</v>
      </c>
      <c r="J49" s="45"/>
      <c r="K49" s="44">
        <f t="shared" si="1"/>
        <v>0</v>
      </c>
      <c r="M49" s="35"/>
      <c r="N49" s="35"/>
      <c r="O49" s="39"/>
      <c r="P49" s="39"/>
    </row>
    <row r="50" spans="1:16">
      <c r="A50" s="67" t="s">
        <v>1601</v>
      </c>
      <c r="B50" s="41"/>
      <c r="C50" s="46">
        <v>100000000</v>
      </c>
      <c r="D50" s="42"/>
      <c r="E50" s="43"/>
      <c r="F50" s="44"/>
      <c r="G50" s="46">
        <v>100000000</v>
      </c>
      <c r="H50" s="42"/>
      <c r="I50" s="43"/>
      <c r="J50" s="45"/>
      <c r="K50" s="44"/>
      <c r="M50" s="35"/>
      <c r="N50" s="35"/>
      <c r="O50" s="39"/>
      <c r="P50" s="39"/>
    </row>
    <row r="51" spans="1:16">
      <c r="A51" s="40"/>
      <c r="B51" s="41">
        <f>SUM(B3:B49)</f>
        <v>8771668921</v>
      </c>
      <c r="C51" s="41">
        <f>SUM(C3:C50)</f>
        <v>11068315170.755554</v>
      </c>
      <c r="D51" s="42">
        <f t="shared" si="0"/>
        <v>0.26182545994835937</v>
      </c>
      <c r="E51" s="41">
        <f>SUM(E3:E49)</f>
        <v>11638580745</v>
      </c>
      <c r="F51" s="44">
        <f>E51/B51-1</f>
        <v>0.32683766907075218</v>
      </c>
      <c r="G51" s="41">
        <f>SUM(G3:G50)</f>
        <v>11180572406.852493</v>
      </c>
      <c r="H51" s="42">
        <f>G51/B51-1</f>
        <v>0.2746231655056437</v>
      </c>
      <c r="I51" s="41">
        <f>SUM(I3:I49)</f>
        <v>11862721084</v>
      </c>
      <c r="J51" s="45">
        <f>I51/B51-1</f>
        <v>0.35239042773260643</v>
      </c>
      <c r="K51" s="44">
        <f t="shared" si="1"/>
        <v>-5.7503558611654793E-2</v>
      </c>
      <c r="M51" s="35"/>
      <c r="N51" s="35"/>
      <c r="O51" s="39"/>
      <c r="P51" s="39"/>
    </row>
    <row r="52" spans="1:16">
      <c r="D52" s="45"/>
      <c r="E52" s="41"/>
      <c r="F52" s="41"/>
      <c r="I52" s="41"/>
      <c r="K52" s="41"/>
      <c r="M52" s="35"/>
      <c r="N52" s="35"/>
      <c r="O52" s="39"/>
      <c r="P52" s="39"/>
    </row>
    <row r="53" spans="1:16">
      <c r="A53" s="34"/>
      <c r="B53" s="35" t="s">
        <v>1593</v>
      </c>
      <c r="E53" s="41"/>
      <c r="F53" s="41"/>
      <c r="I53" s="41"/>
      <c r="K53" s="41"/>
      <c r="M53" s="35"/>
      <c r="N53" s="35"/>
      <c r="O53" s="39"/>
      <c r="P53" s="39"/>
    </row>
    <row r="54" spans="1:16">
      <c r="A54" s="36"/>
      <c r="B54" s="35" t="s">
        <v>1594</v>
      </c>
      <c r="E54" s="41"/>
      <c r="F54" s="41"/>
      <c r="I54" s="41"/>
      <c r="K54" s="41"/>
      <c r="M54" s="35"/>
      <c r="N54" s="35"/>
      <c r="O54" s="39"/>
      <c r="P54" s="39"/>
    </row>
    <row r="55" spans="1:16">
      <c r="E55" s="41"/>
      <c r="F55" s="41"/>
      <c r="I55" s="41"/>
      <c r="K55" s="41"/>
      <c r="M55" s="35"/>
      <c r="N55" s="35"/>
      <c r="O55" s="39"/>
      <c r="P55" s="39"/>
    </row>
    <row r="56" spans="1:16">
      <c r="E56" s="41"/>
      <c r="F56" s="41"/>
      <c r="I56" s="41"/>
      <c r="K56" s="41"/>
      <c r="M56" s="35"/>
      <c r="N56" s="35"/>
      <c r="O56" s="39"/>
      <c r="P56" s="39"/>
    </row>
    <row r="57" spans="1:16">
      <c r="E57" s="41"/>
      <c r="F57" s="41"/>
      <c r="I57" s="41"/>
      <c r="K57" s="41"/>
      <c r="M57" s="35"/>
      <c r="N57" s="35"/>
      <c r="O57" s="39"/>
      <c r="P57" s="3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L51"/>
  <sheetViews>
    <sheetView workbookViewId="0">
      <pane ySplit="1" topLeftCell="A10" activePane="bottomLeft" state="frozen"/>
      <selection pane="bottomLeft" activeCell="D21" sqref="D21"/>
    </sheetView>
  </sheetViews>
  <sheetFormatPr defaultColWidth="8.796875" defaultRowHeight="15.6"/>
  <cols>
    <col min="1" max="1" width="34.19921875" style="52" customWidth="1"/>
    <col min="2" max="2" width="16.69921875" style="52" bestFit="1" customWidth="1"/>
    <col min="3" max="3" width="17.296875" style="52" bestFit="1" customWidth="1"/>
    <col min="4" max="4" width="20.19921875" style="52" customWidth="1"/>
    <col min="5" max="5" width="16.69921875" style="52" bestFit="1" customWidth="1"/>
    <col min="6" max="6" width="17.296875" style="52" bestFit="1" customWidth="1"/>
    <col min="7" max="7" width="20.19921875" style="52" customWidth="1"/>
    <col min="8" max="8" width="8.796875" style="52"/>
    <col min="9" max="12" width="8.796875" style="5"/>
    <col min="13" max="16384" width="8.796875" style="52"/>
  </cols>
  <sheetData>
    <row r="1" spans="1:12">
      <c r="A1" s="50" t="s">
        <v>0</v>
      </c>
      <c r="B1" s="51" t="s">
        <v>1579</v>
      </c>
      <c r="C1" s="51" t="s">
        <v>5</v>
      </c>
      <c r="D1" s="51" t="s">
        <v>1597</v>
      </c>
      <c r="E1" s="51" t="s">
        <v>1580</v>
      </c>
      <c r="F1" s="51" t="s">
        <v>6</v>
      </c>
      <c r="G1" s="51" t="s">
        <v>1597</v>
      </c>
      <c r="I1" s="52"/>
      <c r="J1" s="52"/>
      <c r="K1" s="52"/>
      <c r="L1" s="52"/>
    </row>
    <row r="2" spans="1:12">
      <c r="A2" s="53"/>
      <c r="B2" s="54"/>
      <c r="C2" s="54"/>
      <c r="D2" s="54"/>
      <c r="E2" s="54"/>
      <c r="F2" s="54"/>
      <c r="G2" s="54"/>
      <c r="I2" s="52"/>
      <c r="J2" s="52"/>
      <c r="K2" s="52"/>
      <c r="L2" s="52"/>
    </row>
    <row r="3" spans="1:12">
      <c r="A3" s="53" t="s">
        <v>10</v>
      </c>
      <c r="B3" s="41">
        <v>25621484.579999998</v>
      </c>
      <c r="C3" s="55">
        <v>27136662</v>
      </c>
      <c r="D3" s="56">
        <f t="shared" ref="D3:D45" si="0">B3/C3-1</f>
        <v>-5.5835069913904745E-2</v>
      </c>
      <c r="E3" s="41">
        <v>22994409.371600002</v>
      </c>
      <c r="F3" s="55">
        <v>24537685</v>
      </c>
      <c r="G3" s="56">
        <f t="shared" ref="G3:G45" si="1">E3/F3-1</f>
        <v>-6.2894100580392909E-2</v>
      </c>
      <c r="I3" s="52"/>
      <c r="J3" s="52"/>
      <c r="K3" s="52"/>
      <c r="L3" s="52"/>
    </row>
    <row r="4" spans="1:12">
      <c r="A4" s="53" t="s">
        <v>1546</v>
      </c>
      <c r="B4" s="46">
        <v>67002253.240000002</v>
      </c>
      <c r="C4" s="55">
        <v>77165865</v>
      </c>
      <c r="D4" s="56">
        <f t="shared" si="0"/>
        <v>-0.13171123993750344</v>
      </c>
      <c r="E4" s="46">
        <v>62364475.084800005</v>
      </c>
      <c r="F4" s="55">
        <v>68554741</v>
      </c>
      <c r="G4" s="56">
        <f t="shared" si="1"/>
        <v>-9.0296685902438112E-2</v>
      </c>
      <c r="I4" s="52"/>
      <c r="J4" s="52"/>
      <c r="K4" s="52"/>
      <c r="L4" s="52"/>
    </row>
    <row r="5" spans="1:12">
      <c r="A5" s="53" t="s">
        <v>11</v>
      </c>
      <c r="B5" s="46">
        <v>83555491</v>
      </c>
      <c r="C5" s="55">
        <v>84318720</v>
      </c>
      <c r="D5" s="56">
        <f t="shared" si="0"/>
        <v>-9.0517147319124636E-3</v>
      </c>
      <c r="E5" s="46">
        <v>83800486</v>
      </c>
      <c r="F5" s="55">
        <v>84162812</v>
      </c>
      <c r="G5" s="56">
        <f t="shared" si="1"/>
        <v>-4.305060529584015E-3</v>
      </c>
      <c r="I5" s="52"/>
      <c r="J5" s="52"/>
      <c r="K5" s="52"/>
      <c r="L5" s="52"/>
    </row>
    <row r="6" spans="1:12">
      <c r="A6" s="53" t="s">
        <v>13</v>
      </c>
      <c r="B6" s="61">
        <v>841725</v>
      </c>
      <c r="C6" s="55">
        <v>841725</v>
      </c>
      <c r="D6" s="56">
        <f t="shared" si="0"/>
        <v>0</v>
      </c>
      <c r="E6" s="46">
        <v>826512</v>
      </c>
      <c r="F6" s="55">
        <v>826512</v>
      </c>
      <c r="G6" s="56">
        <f t="shared" si="1"/>
        <v>0</v>
      </c>
      <c r="I6" s="52"/>
      <c r="J6" s="52"/>
      <c r="K6" s="52"/>
      <c r="L6" s="52"/>
    </row>
    <row r="7" spans="1:12">
      <c r="A7" s="53" t="s">
        <v>14</v>
      </c>
      <c r="B7" s="46">
        <v>2537778</v>
      </c>
      <c r="C7" s="55">
        <v>2537778</v>
      </c>
      <c r="D7" s="56">
        <f t="shared" si="0"/>
        <v>0</v>
      </c>
      <c r="E7" s="46">
        <v>2543852</v>
      </c>
      <c r="F7" s="55">
        <v>2543852</v>
      </c>
      <c r="G7" s="56">
        <f t="shared" si="1"/>
        <v>0</v>
      </c>
      <c r="I7" s="52"/>
      <c r="J7" s="52"/>
      <c r="K7" s="52"/>
      <c r="L7" s="52"/>
    </row>
    <row r="8" spans="1:12">
      <c r="A8" s="53" t="s">
        <v>15</v>
      </c>
      <c r="B8" s="46">
        <v>2390338</v>
      </c>
      <c r="C8" s="55">
        <v>2390338</v>
      </c>
      <c r="D8" s="56">
        <f t="shared" si="0"/>
        <v>0</v>
      </c>
      <c r="E8" s="46">
        <v>2408628</v>
      </c>
      <c r="F8" s="55">
        <v>2408628</v>
      </c>
      <c r="G8" s="56">
        <f t="shared" si="1"/>
        <v>0</v>
      </c>
      <c r="I8" s="52"/>
      <c r="J8" s="52"/>
      <c r="K8" s="52"/>
      <c r="L8" s="52"/>
    </row>
    <row r="9" spans="1:12">
      <c r="A9" s="53" t="s">
        <v>16</v>
      </c>
      <c r="B9" s="46">
        <v>407385</v>
      </c>
      <c r="C9" s="55">
        <v>407385</v>
      </c>
      <c r="D9" s="56">
        <f t="shared" si="0"/>
        <v>0</v>
      </c>
      <c r="E9" s="46">
        <v>412195</v>
      </c>
      <c r="F9" s="55">
        <v>412195</v>
      </c>
      <c r="G9" s="56">
        <f t="shared" si="1"/>
        <v>0</v>
      </c>
      <c r="I9" s="52"/>
      <c r="J9" s="52"/>
      <c r="K9" s="52"/>
      <c r="L9" s="52"/>
    </row>
    <row r="10" spans="1:12">
      <c r="A10" s="53" t="s">
        <v>18</v>
      </c>
      <c r="B10" s="46">
        <v>15742517.879999999</v>
      </c>
      <c r="C10" s="55">
        <v>9299217</v>
      </c>
      <c r="D10" s="56">
        <f t="shared" si="0"/>
        <v>0.69288638817655279</v>
      </c>
      <c r="E10" s="46">
        <v>16091705.5976</v>
      </c>
      <c r="F10" s="55">
        <v>9828090</v>
      </c>
      <c r="G10" s="56">
        <f t="shared" si="1"/>
        <v>0.63731768813675904</v>
      </c>
      <c r="I10" s="52"/>
      <c r="J10" s="52"/>
      <c r="K10" s="52"/>
      <c r="L10" s="52"/>
    </row>
    <row r="11" spans="1:12">
      <c r="A11" s="53" t="s">
        <v>19</v>
      </c>
      <c r="B11" s="46">
        <v>384396</v>
      </c>
      <c r="C11" s="55">
        <v>384396</v>
      </c>
      <c r="D11" s="56">
        <f t="shared" si="0"/>
        <v>0</v>
      </c>
      <c r="E11" s="46">
        <v>361732</v>
      </c>
      <c r="F11" s="55">
        <v>361732</v>
      </c>
      <c r="G11" s="56">
        <f t="shared" si="1"/>
        <v>0</v>
      </c>
      <c r="I11" s="52"/>
      <c r="J11" s="52"/>
      <c r="K11" s="52"/>
      <c r="L11" s="52"/>
    </row>
    <row r="12" spans="1:12">
      <c r="A12" s="53" t="s">
        <v>20</v>
      </c>
      <c r="B12" s="46">
        <v>157026822.02000001</v>
      </c>
      <c r="C12" s="55">
        <v>172500001</v>
      </c>
      <c r="D12" s="56">
        <f t="shared" si="0"/>
        <v>-8.9699587769857425E-2</v>
      </c>
      <c r="E12" s="46">
        <v>153073722.77719998</v>
      </c>
      <c r="F12" s="55">
        <v>170166618</v>
      </c>
      <c r="G12" s="56">
        <f t="shared" si="1"/>
        <v>-0.10044799281842698</v>
      </c>
      <c r="I12" s="52"/>
      <c r="J12" s="52"/>
      <c r="K12" s="52"/>
      <c r="L12" s="52"/>
    </row>
    <row r="13" spans="1:12">
      <c r="A13" s="53" t="s">
        <v>21</v>
      </c>
      <c r="B13" s="46">
        <v>161749250.72</v>
      </c>
      <c r="C13" s="55">
        <v>163289782</v>
      </c>
      <c r="D13" s="56">
        <f t="shared" si="0"/>
        <v>-9.4343397433159781E-3</v>
      </c>
      <c r="E13" s="46">
        <v>160517322.71439999</v>
      </c>
      <c r="F13" s="55">
        <v>161973091</v>
      </c>
      <c r="G13" s="56">
        <f t="shared" si="1"/>
        <v>-8.9877168893442994E-3</v>
      </c>
      <c r="I13" s="52"/>
      <c r="J13" s="52"/>
      <c r="K13" s="52"/>
      <c r="L13" s="52"/>
    </row>
    <row r="14" spans="1:12">
      <c r="A14" s="53" t="s">
        <v>22</v>
      </c>
      <c r="B14" s="46">
        <v>118459869.02000001</v>
      </c>
      <c r="C14" s="55">
        <v>146130412</v>
      </c>
      <c r="D14" s="56">
        <f t="shared" si="0"/>
        <v>-0.18935512875991889</v>
      </c>
      <c r="E14" s="46">
        <v>116660115.69599998</v>
      </c>
      <c r="F14" s="55">
        <v>141227357</v>
      </c>
      <c r="G14" s="56">
        <f t="shared" si="1"/>
        <v>-0.17395525786126564</v>
      </c>
      <c r="I14" s="52"/>
      <c r="J14" s="52"/>
      <c r="K14" s="52"/>
      <c r="L14" s="52"/>
    </row>
    <row r="15" spans="1:12">
      <c r="A15" s="53" t="s">
        <v>23</v>
      </c>
      <c r="B15" s="46">
        <v>117451219.94</v>
      </c>
      <c r="C15" s="55">
        <v>130204088</v>
      </c>
      <c r="D15" s="56">
        <f t="shared" si="0"/>
        <v>-9.7945220122428123E-2</v>
      </c>
      <c r="E15" s="46">
        <v>108801471.37439999</v>
      </c>
      <c r="F15" s="55">
        <v>124081812</v>
      </c>
      <c r="G15" s="56">
        <f t="shared" si="1"/>
        <v>-0.12314730401906127</v>
      </c>
      <c r="I15" s="52"/>
      <c r="J15" s="52"/>
      <c r="K15" s="52"/>
      <c r="L15" s="52"/>
    </row>
    <row r="16" spans="1:12">
      <c r="A16" s="53" t="s">
        <v>24</v>
      </c>
      <c r="B16" s="46">
        <v>295272351</v>
      </c>
      <c r="C16" s="55">
        <v>298168129</v>
      </c>
      <c r="D16" s="56">
        <f t="shared" si="0"/>
        <v>-9.7118964716714773E-3</v>
      </c>
      <c r="E16" s="46">
        <v>300956879.81999999</v>
      </c>
      <c r="F16" s="55">
        <v>305517754</v>
      </c>
      <c r="G16" s="56">
        <f t="shared" si="1"/>
        <v>-1.492834416424782E-2</v>
      </c>
      <c r="I16" s="52"/>
      <c r="J16" s="52"/>
      <c r="K16" s="52"/>
      <c r="L16" s="52"/>
    </row>
    <row r="17" spans="1:12">
      <c r="A17" s="53" t="s">
        <v>26</v>
      </c>
      <c r="B17" s="46">
        <v>1856088884</v>
      </c>
      <c r="C17" s="55">
        <v>2166462114</v>
      </c>
      <c r="D17" s="56">
        <f t="shared" si="0"/>
        <v>-0.14326270835493593</v>
      </c>
      <c r="E17" s="46">
        <v>1825559478</v>
      </c>
      <c r="F17" s="55">
        <v>2228500169</v>
      </c>
      <c r="G17" s="56">
        <f t="shared" si="1"/>
        <v>-0.18081250188139431</v>
      </c>
      <c r="I17" s="52"/>
      <c r="J17" s="52"/>
      <c r="K17" s="52"/>
      <c r="L17" s="52"/>
    </row>
    <row r="18" spans="1:12">
      <c r="A18" s="53" t="s">
        <v>1583</v>
      </c>
      <c r="B18" s="46">
        <v>160351952.09999999</v>
      </c>
      <c r="C18" s="55">
        <v>161928014</v>
      </c>
      <c r="D18" s="56">
        <f t="shared" si="0"/>
        <v>-9.7331021425360875E-3</v>
      </c>
      <c r="E18" s="46">
        <v>157636972.43520001</v>
      </c>
      <c r="F18" s="55">
        <v>159930748</v>
      </c>
      <c r="G18" s="56">
        <f t="shared" si="1"/>
        <v>-1.4342304988156473E-2</v>
      </c>
      <c r="I18" s="52"/>
      <c r="J18" s="52"/>
      <c r="K18" s="52"/>
      <c r="L18" s="52"/>
    </row>
    <row r="19" spans="1:12">
      <c r="A19" s="53" t="s">
        <v>1584</v>
      </c>
      <c r="B19" s="46">
        <v>4656303957.5199995</v>
      </c>
      <c r="C19" s="55">
        <v>4716068253</v>
      </c>
      <c r="D19" s="56">
        <f t="shared" si="0"/>
        <v>-1.2672483152037284E-2</v>
      </c>
      <c r="E19" s="46">
        <v>4769202305.8504</v>
      </c>
      <c r="F19" s="55">
        <v>4850396363</v>
      </c>
      <c r="G19" s="56">
        <f t="shared" si="1"/>
        <v>-1.6739674672562432E-2</v>
      </c>
      <c r="I19" s="52"/>
      <c r="J19" s="52"/>
      <c r="K19" s="52"/>
      <c r="L19" s="52"/>
    </row>
    <row r="20" spans="1:12">
      <c r="A20" s="53" t="s">
        <v>1585</v>
      </c>
      <c r="B20" s="46">
        <v>158485717.40000001</v>
      </c>
      <c r="C20" s="55">
        <v>161797620</v>
      </c>
      <c r="D20" s="56">
        <f t="shared" si="0"/>
        <v>-2.0469414815866838E-2</v>
      </c>
      <c r="E20" s="46">
        <v>158279469.54800001</v>
      </c>
      <c r="F20" s="55">
        <v>164331269</v>
      </c>
      <c r="G20" s="56">
        <f t="shared" si="1"/>
        <v>-3.6826828447360183E-2</v>
      </c>
      <c r="I20" s="52"/>
      <c r="J20" s="52"/>
      <c r="K20" s="52"/>
      <c r="L20" s="52"/>
    </row>
    <row r="21" spans="1:12">
      <c r="A21" s="53" t="s">
        <v>1586</v>
      </c>
      <c r="B21" s="46">
        <v>206357312.25999999</v>
      </c>
      <c r="C21" s="55">
        <v>216460876</v>
      </c>
      <c r="D21" s="56">
        <f t="shared" si="0"/>
        <v>-4.6676165812061132E-2</v>
      </c>
      <c r="E21" s="46">
        <v>203528460.91719997</v>
      </c>
      <c r="F21" s="55">
        <v>217827761</v>
      </c>
      <c r="G21" s="56">
        <f t="shared" si="1"/>
        <v>-6.5644984905298798E-2</v>
      </c>
      <c r="I21" s="52"/>
      <c r="J21" s="52"/>
      <c r="K21" s="52"/>
      <c r="L21" s="52"/>
    </row>
    <row r="22" spans="1:12">
      <c r="A22" s="53" t="s">
        <v>27</v>
      </c>
      <c r="B22" s="46">
        <v>27977552.02</v>
      </c>
      <c r="C22" s="55">
        <v>30904611</v>
      </c>
      <c r="D22" s="56">
        <f t="shared" si="0"/>
        <v>-9.4712694490799443E-2</v>
      </c>
      <c r="E22" s="46">
        <v>28537103.060400002</v>
      </c>
      <c r="F22" s="55">
        <v>30623013</v>
      </c>
      <c r="G22" s="56">
        <f t="shared" si="1"/>
        <v>-6.8115764428536063E-2</v>
      </c>
      <c r="I22" s="52"/>
      <c r="J22" s="52"/>
      <c r="K22" s="52"/>
      <c r="L22" s="52"/>
    </row>
    <row r="23" spans="1:12">
      <c r="A23" s="53" t="s">
        <v>28</v>
      </c>
      <c r="B23" s="46">
        <v>8730096.0600000005</v>
      </c>
      <c r="C23" s="55">
        <v>34832187</v>
      </c>
      <c r="D23" s="56">
        <f t="shared" si="0"/>
        <v>-0.74936698462258478</v>
      </c>
      <c r="E23" s="46">
        <v>8843322.1412000004</v>
      </c>
      <c r="F23" s="55">
        <v>34948241</v>
      </c>
      <c r="G23" s="56">
        <f t="shared" si="1"/>
        <v>-0.74695944951278093</v>
      </c>
      <c r="I23" s="52"/>
      <c r="J23" s="52"/>
      <c r="K23" s="52"/>
      <c r="L23" s="52"/>
    </row>
    <row r="24" spans="1:12">
      <c r="A24" s="53" t="s">
        <v>1587</v>
      </c>
      <c r="B24" s="46">
        <v>746094797.58000004</v>
      </c>
      <c r="C24" s="55">
        <v>748678159</v>
      </c>
      <c r="D24" s="56">
        <f t="shared" si="0"/>
        <v>-3.4505633548206349E-3</v>
      </c>
      <c r="E24" s="46">
        <v>798802441.89160001</v>
      </c>
      <c r="F24" s="55">
        <v>800735563</v>
      </c>
      <c r="G24" s="56">
        <f t="shared" si="1"/>
        <v>-2.4141816571221497E-3</v>
      </c>
      <c r="I24" s="52"/>
      <c r="J24" s="52"/>
      <c r="K24" s="52"/>
      <c r="L24" s="52"/>
    </row>
    <row r="25" spans="1:12">
      <c r="A25" s="53" t="s">
        <v>29</v>
      </c>
      <c r="B25" s="46">
        <v>30088316</v>
      </c>
      <c r="C25" s="55">
        <v>30088316</v>
      </c>
      <c r="D25" s="56">
        <f t="shared" si="0"/>
        <v>0</v>
      </c>
      <c r="E25" s="46">
        <v>30292913</v>
      </c>
      <c r="F25" s="55">
        <v>30292913</v>
      </c>
      <c r="G25" s="56">
        <f t="shared" si="1"/>
        <v>0</v>
      </c>
      <c r="I25" s="52"/>
      <c r="J25" s="52"/>
      <c r="K25" s="52"/>
      <c r="L25" s="52"/>
    </row>
    <row r="26" spans="1:12">
      <c r="A26" s="53" t="s">
        <v>30</v>
      </c>
      <c r="B26" s="46">
        <v>43397479.460000001</v>
      </c>
      <c r="C26" s="55">
        <v>43519888</v>
      </c>
      <c r="D26" s="56">
        <f t="shared" si="0"/>
        <v>-2.8127034701926901E-3</v>
      </c>
      <c r="E26" s="46">
        <v>43111575.009199999</v>
      </c>
      <c r="F26" s="55">
        <v>43143285</v>
      </c>
      <c r="G26" s="56">
        <f t="shared" si="1"/>
        <v>-7.3499249767372543E-4</v>
      </c>
      <c r="I26" s="52"/>
      <c r="J26" s="52"/>
      <c r="K26" s="52"/>
      <c r="L26" s="52"/>
    </row>
    <row r="27" spans="1:12">
      <c r="A27" s="53" t="s">
        <v>31</v>
      </c>
      <c r="B27" s="46">
        <v>61095367.420000002</v>
      </c>
      <c r="C27" s="55">
        <v>61740505</v>
      </c>
      <c r="D27" s="56">
        <f t="shared" si="0"/>
        <v>-1.0449178865640896E-2</v>
      </c>
      <c r="E27" s="46">
        <v>61960645.648400001</v>
      </c>
      <c r="F27" s="55">
        <v>62196561</v>
      </c>
      <c r="G27" s="56">
        <f t="shared" si="1"/>
        <v>-3.7930610279239829E-3</v>
      </c>
      <c r="I27" s="52"/>
      <c r="J27" s="52"/>
      <c r="K27" s="52"/>
      <c r="L27" s="52"/>
    </row>
    <row r="28" spans="1:12">
      <c r="A28" s="53" t="s">
        <v>32</v>
      </c>
      <c r="B28" s="46">
        <v>8277283.7000000002</v>
      </c>
      <c r="C28" s="55">
        <v>25725752</v>
      </c>
      <c r="D28" s="56">
        <f t="shared" si="0"/>
        <v>-0.67824910618744982</v>
      </c>
      <c r="E28" s="46">
        <v>8433237.1740000006</v>
      </c>
      <c r="F28" s="55">
        <v>27222167</v>
      </c>
      <c r="G28" s="56">
        <f t="shared" si="1"/>
        <v>-0.69020698557906868</v>
      </c>
      <c r="I28" s="52"/>
      <c r="J28" s="52"/>
      <c r="K28" s="52"/>
      <c r="L28" s="52"/>
    </row>
    <row r="29" spans="1:12">
      <c r="A29" s="53" t="s">
        <v>33</v>
      </c>
      <c r="B29" s="46">
        <v>5940171</v>
      </c>
      <c r="C29" s="55">
        <v>48520715</v>
      </c>
      <c r="D29" s="56">
        <f t="shared" si="0"/>
        <v>-0.87757453697869048</v>
      </c>
      <c r="E29" s="46">
        <v>5902494</v>
      </c>
      <c r="F29" s="55">
        <v>40087359</v>
      </c>
      <c r="G29" s="56">
        <f t="shared" si="1"/>
        <v>-0.85275922018210282</v>
      </c>
      <c r="I29" s="52"/>
      <c r="J29" s="52"/>
      <c r="K29" s="52"/>
      <c r="L29" s="52"/>
    </row>
    <row r="30" spans="1:12">
      <c r="A30" s="53" t="s">
        <v>34</v>
      </c>
      <c r="B30" s="46">
        <v>59890221</v>
      </c>
      <c r="C30" s="55">
        <v>62976449</v>
      </c>
      <c r="D30" s="56">
        <f t="shared" si="0"/>
        <v>-4.9006065743719573E-2</v>
      </c>
      <c r="E30" s="46">
        <v>59847877.5</v>
      </c>
      <c r="F30" s="55">
        <v>61834258</v>
      </c>
      <c r="G30" s="56">
        <f t="shared" si="1"/>
        <v>-3.2124271629490608E-2</v>
      </c>
      <c r="I30" s="52"/>
      <c r="J30" s="52"/>
      <c r="K30" s="52"/>
      <c r="L30" s="52"/>
    </row>
    <row r="31" spans="1:12">
      <c r="A31" s="53" t="s">
        <v>35</v>
      </c>
      <c r="B31" s="46">
        <v>725238.22000000009</v>
      </c>
      <c r="C31" s="55">
        <v>837860</v>
      </c>
      <c r="D31" s="56">
        <f t="shared" si="0"/>
        <v>-0.13441598835127577</v>
      </c>
      <c r="E31" s="46">
        <v>739742.98440000007</v>
      </c>
      <c r="F31" s="55">
        <v>792436</v>
      </c>
      <c r="G31" s="56">
        <f t="shared" si="1"/>
        <v>-6.6494979531469989E-2</v>
      </c>
      <c r="I31" s="52"/>
      <c r="J31" s="52"/>
      <c r="K31" s="52"/>
      <c r="L31" s="52"/>
    </row>
    <row r="32" spans="1:12">
      <c r="A32" s="53" t="s">
        <v>162</v>
      </c>
      <c r="B32" s="46">
        <v>33119370.460000001</v>
      </c>
      <c r="C32" s="55">
        <v>35346572</v>
      </c>
      <c r="D32" s="56">
        <f t="shared" si="0"/>
        <v>-6.3010397161003318E-2</v>
      </c>
      <c r="E32" s="46">
        <v>34341813.989199996</v>
      </c>
      <c r="F32" s="55">
        <v>34674905</v>
      </c>
      <c r="G32" s="56">
        <f t="shared" si="1"/>
        <v>-9.6061117052809175E-3</v>
      </c>
      <c r="I32" s="52"/>
      <c r="J32" s="52"/>
      <c r="K32" s="52"/>
      <c r="L32" s="52"/>
    </row>
    <row r="33" spans="1:12">
      <c r="A33" s="53" t="s">
        <v>36</v>
      </c>
      <c r="B33" s="46">
        <v>502763</v>
      </c>
      <c r="C33" s="55">
        <v>552817</v>
      </c>
      <c r="D33" s="56">
        <f t="shared" si="0"/>
        <v>-9.054352525338405E-2</v>
      </c>
      <c r="E33" s="46">
        <v>512818.26</v>
      </c>
      <c r="F33" s="55">
        <v>587758</v>
      </c>
      <c r="G33" s="56">
        <f t="shared" si="1"/>
        <v>-0.12750101232139754</v>
      </c>
      <c r="I33" s="52"/>
      <c r="J33" s="52"/>
      <c r="K33" s="52"/>
      <c r="L33" s="52"/>
    </row>
    <row r="34" spans="1:12">
      <c r="A34" s="53" t="s">
        <v>1588</v>
      </c>
      <c r="B34" s="46">
        <v>729563789.39555573</v>
      </c>
      <c r="C34" s="55">
        <v>808012534</v>
      </c>
      <c r="D34" s="56">
        <f t="shared" si="0"/>
        <v>-9.7088524377326402E-2</v>
      </c>
      <c r="E34" s="46">
        <v>760071244.33209407</v>
      </c>
      <c r="F34" s="55">
        <v>828776828</v>
      </c>
      <c r="G34" s="56">
        <f t="shared" si="1"/>
        <v>-8.2899981450622717E-2</v>
      </c>
      <c r="I34" s="52"/>
      <c r="J34" s="52"/>
      <c r="K34" s="52"/>
      <c r="L34" s="52"/>
    </row>
    <row r="35" spans="1:12">
      <c r="A35" s="53" t="s">
        <v>38</v>
      </c>
      <c r="B35" s="46">
        <v>731980407</v>
      </c>
      <c r="C35" s="55">
        <v>731980407</v>
      </c>
      <c r="D35" s="56">
        <f t="shared" si="0"/>
        <v>0</v>
      </c>
      <c r="E35" s="46">
        <v>697317666</v>
      </c>
      <c r="F35" s="55">
        <v>697403827</v>
      </c>
      <c r="G35" s="56">
        <f t="shared" si="1"/>
        <v>-1.2354535014613699E-4</v>
      </c>
      <c r="I35" s="52"/>
      <c r="J35" s="52"/>
      <c r="K35" s="52"/>
      <c r="L35" s="52"/>
    </row>
    <row r="36" spans="1:12">
      <c r="A36" s="53" t="s">
        <v>1590</v>
      </c>
      <c r="B36" s="46">
        <v>10350217.5</v>
      </c>
      <c r="C36" s="55">
        <v>10949444</v>
      </c>
      <c r="D36" s="56">
        <f t="shared" si="0"/>
        <v>-5.472666009342575E-2</v>
      </c>
      <c r="E36" s="46">
        <v>10609475.57</v>
      </c>
      <c r="F36" s="55">
        <v>11183323</v>
      </c>
      <c r="G36" s="56">
        <f t="shared" si="1"/>
        <v>-5.1312783329248379E-2</v>
      </c>
      <c r="I36" s="52"/>
      <c r="J36" s="52"/>
      <c r="K36" s="52"/>
      <c r="L36" s="52"/>
    </row>
    <row r="37" spans="1:12">
      <c r="A37" s="53" t="s">
        <v>39</v>
      </c>
      <c r="B37" s="46">
        <v>14689459</v>
      </c>
      <c r="C37" s="55">
        <v>14689459</v>
      </c>
      <c r="D37" s="56">
        <f t="shared" si="0"/>
        <v>0</v>
      </c>
      <c r="E37" s="46">
        <v>14082116</v>
      </c>
      <c r="F37" s="55">
        <v>14082116</v>
      </c>
      <c r="G37" s="56">
        <f t="shared" si="1"/>
        <v>0</v>
      </c>
      <c r="I37" s="52"/>
      <c r="J37" s="52"/>
      <c r="K37" s="52"/>
      <c r="L37" s="52"/>
    </row>
    <row r="38" spans="1:12">
      <c r="A38" s="53" t="s">
        <v>41</v>
      </c>
      <c r="B38" s="46">
        <v>13438293.26</v>
      </c>
      <c r="C38" s="55">
        <v>22859764</v>
      </c>
      <c r="D38" s="56">
        <f t="shared" si="0"/>
        <v>-0.41214208248169137</v>
      </c>
      <c r="E38" s="46">
        <v>12910069.1052</v>
      </c>
      <c r="F38" s="55">
        <v>25478756</v>
      </c>
      <c r="G38" s="56">
        <f t="shared" si="1"/>
        <v>-0.49330064995323952</v>
      </c>
      <c r="I38" s="52"/>
      <c r="J38" s="52"/>
      <c r="K38" s="52"/>
      <c r="L38" s="52"/>
    </row>
    <row r="39" spans="1:12">
      <c r="A39" s="53" t="s">
        <v>42</v>
      </c>
      <c r="B39" s="46">
        <v>0</v>
      </c>
      <c r="C39" s="55">
        <v>7517597</v>
      </c>
      <c r="D39" s="56">
        <f t="shared" si="0"/>
        <v>-1</v>
      </c>
      <c r="E39" s="46">
        <v>0</v>
      </c>
      <c r="F39" s="55">
        <v>7898955</v>
      </c>
      <c r="G39" s="56">
        <f t="shared" si="1"/>
        <v>-1</v>
      </c>
      <c r="I39" s="52"/>
      <c r="J39" s="52"/>
      <c r="K39" s="52"/>
      <c r="L39" s="52"/>
    </row>
    <row r="40" spans="1:12">
      <c r="A40" s="53" t="s">
        <v>43</v>
      </c>
      <c r="B40" s="46">
        <v>8934678</v>
      </c>
      <c r="C40" s="55">
        <v>8934678</v>
      </c>
      <c r="D40" s="56">
        <f t="shared" si="0"/>
        <v>0</v>
      </c>
      <c r="E40" s="46">
        <v>9721524</v>
      </c>
      <c r="F40" s="55">
        <v>9721524</v>
      </c>
      <c r="G40" s="56">
        <f t="shared" si="1"/>
        <v>0</v>
      </c>
      <c r="I40" s="52"/>
      <c r="J40" s="52"/>
      <c r="K40" s="52"/>
      <c r="L40" s="52"/>
    </row>
    <row r="41" spans="1:12">
      <c r="A41" s="53" t="s">
        <v>45</v>
      </c>
      <c r="B41" s="46">
        <v>17168859</v>
      </c>
      <c r="C41" s="55">
        <v>17168859</v>
      </c>
      <c r="D41" s="56">
        <f t="shared" si="0"/>
        <v>0</v>
      </c>
      <c r="E41" s="46">
        <v>16528859</v>
      </c>
      <c r="F41" s="55">
        <v>16528859</v>
      </c>
      <c r="G41" s="56">
        <f t="shared" si="1"/>
        <v>0</v>
      </c>
      <c r="I41" s="52"/>
      <c r="J41" s="52"/>
      <c r="K41" s="52"/>
      <c r="L41" s="52"/>
    </row>
    <row r="42" spans="1:12">
      <c r="A42" s="53" t="s">
        <v>46</v>
      </c>
      <c r="B42" s="46">
        <v>328865036</v>
      </c>
      <c r="C42" s="55">
        <v>353797726</v>
      </c>
      <c r="D42" s="56">
        <f t="shared" si="0"/>
        <v>-7.0471594834388473E-2</v>
      </c>
      <c r="E42" s="46">
        <v>330490816</v>
      </c>
      <c r="F42" s="55">
        <v>365424790</v>
      </c>
      <c r="G42" s="56">
        <f t="shared" si="1"/>
        <v>-9.5598259767762372E-2</v>
      </c>
      <c r="I42" s="52"/>
      <c r="J42" s="52"/>
      <c r="K42" s="52"/>
      <c r="L42" s="52"/>
    </row>
    <row r="43" spans="1:12">
      <c r="A43" s="53" t="s">
        <v>47</v>
      </c>
      <c r="B43" s="46">
        <v>1455071</v>
      </c>
      <c r="C43" s="55">
        <v>1455071</v>
      </c>
      <c r="D43" s="56">
        <f t="shared" si="0"/>
        <v>0</v>
      </c>
      <c r="E43" s="46">
        <v>1494458</v>
      </c>
      <c r="F43" s="55">
        <v>1494458</v>
      </c>
      <c r="G43" s="56">
        <f t="shared" si="1"/>
        <v>0</v>
      </c>
      <c r="I43" s="52"/>
      <c r="J43" s="52"/>
      <c r="K43" s="52"/>
      <c r="L43" s="52"/>
    </row>
    <row r="44" spans="1:12">
      <c r="A44" s="53" t="s">
        <v>1601</v>
      </c>
      <c r="B44" s="46">
        <v>100000000</v>
      </c>
      <c r="C44" s="55">
        <v>0</v>
      </c>
      <c r="D44" s="56"/>
      <c r="E44" s="46">
        <v>100000000</v>
      </c>
      <c r="F44" s="55">
        <v>0</v>
      </c>
      <c r="G44" s="56"/>
      <c r="I44" s="52"/>
      <c r="J44" s="52"/>
      <c r="K44" s="52"/>
      <c r="L44" s="52"/>
    </row>
    <row r="45" spans="1:12">
      <c r="A45" s="53"/>
      <c r="B45" s="41">
        <f>SUM(B3:B44)</f>
        <v>11068315170.755554</v>
      </c>
      <c r="C45" s="54">
        <f>SUM(C3:C44)</f>
        <v>11638580745</v>
      </c>
      <c r="D45" s="56">
        <f t="shared" si="0"/>
        <v>-4.8997862088075883E-2</v>
      </c>
      <c r="E45" s="41">
        <f>SUM(E3:E44)</f>
        <v>11180572406.852493</v>
      </c>
      <c r="F45" s="54">
        <f>SUM(F3:F44)</f>
        <v>11862721084</v>
      </c>
      <c r="G45" s="56">
        <f t="shared" si="1"/>
        <v>-5.7503558611654793E-2</v>
      </c>
      <c r="I45" s="52"/>
      <c r="J45" s="52"/>
      <c r="K45" s="52"/>
      <c r="L45" s="52"/>
    </row>
    <row r="46" spans="1:12">
      <c r="C46" s="54"/>
      <c r="D46" s="54"/>
      <c r="F46" s="54"/>
      <c r="G46" s="54"/>
      <c r="I46" s="52"/>
      <c r="J46" s="52"/>
      <c r="K46" s="52"/>
      <c r="L46" s="52"/>
    </row>
    <row r="47" spans="1:12">
      <c r="C47" s="54"/>
      <c r="D47" s="54"/>
      <c r="F47" s="54"/>
      <c r="G47" s="54"/>
      <c r="I47" s="52"/>
      <c r="J47" s="52"/>
      <c r="K47" s="52"/>
      <c r="L47" s="52"/>
    </row>
    <row r="48" spans="1:12">
      <c r="C48" s="54"/>
      <c r="F48" s="54"/>
      <c r="I48" s="52"/>
      <c r="J48" s="52"/>
      <c r="K48" s="52"/>
      <c r="L48" s="52"/>
    </row>
    <row r="49" spans="3:12">
      <c r="C49" s="54"/>
      <c r="F49" s="54"/>
      <c r="I49" s="52"/>
      <c r="J49" s="52"/>
      <c r="K49" s="52"/>
      <c r="L49" s="52"/>
    </row>
    <row r="50" spans="3:12">
      <c r="C50" s="54"/>
      <c r="D50" s="54"/>
      <c r="F50" s="54"/>
      <c r="G50" s="54"/>
      <c r="I50" s="52"/>
      <c r="J50" s="52"/>
      <c r="K50" s="52"/>
      <c r="L50" s="52"/>
    </row>
    <row r="51" spans="3:12">
      <c r="C51" s="54"/>
      <c r="D51" s="54"/>
      <c r="F51" s="54"/>
      <c r="G51" s="54"/>
      <c r="I51" s="52"/>
      <c r="J51" s="52"/>
      <c r="K51" s="52"/>
      <c r="L51" s="52"/>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P57"/>
  <sheetViews>
    <sheetView zoomScale="150" zoomScaleNormal="150" zoomScalePageLayoutView="150" workbookViewId="0">
      <pane ySplit="1" topLeftCell="A43" activePane="bottomLeft" state="frozen"/>
      <selection pane="bottomLeft" activeCell="F7" sqref="F7"/>
    </sheetView>
  </sheetViews>
  <sheetFormatPr defaultColWidth="11.19921875" defaultRowHeight="15.6"/>
  <cols>
    <col min="2" max="3" width="13.796875" bestFit="1" customWidth="1"/>
    <col min="4" max="5" width="15.19921875" customWidth="1"/>
    <col min="6" max="6" width="14.796875" bestFit="1" customWidth="1"/>
    <col min="7" max="7" width="17.296875" bestFit="1" customWidth="1"/>
    <col min="8" max="9" width="14.796875" bestFit="1" customWidth="1"/>
    <col min="10" max="10" width="17.296875" customWidth="1"/>
  </cols>
  <sheetData>
    <row r="1" spans="1:16">
      <c r="A1" s="25" t="s">
        <v>0</v>
      </c>
      <c r="B1" s="26" t="s">
        <v>3</v>
      </c>
      <c r="C1" s="26" t="s">
        <v>4</v>
      </c>
      <c r="D1" s="26" t="s">
        <v>1545</v>
      </c>
      <c r="E1" s="26" t="s">
        <v>1579</v>
      </c>
      <c r="F1" s="26" t="s">
        <v>1580</v>
      </c>
      <c r="G1" s="26" t="s">
        <v>1581</v>
      </c>
      <c r="H1" s="26" t="s">
        <v>5</v>
      </c>
      <c r="I1" s="26" t="s">
        <v>6</v>
      </c>
      <c r="J1" s="26" t="s">
        <v>1582</v>
      </c>
      <c r="K1" s="26"/>
      <c r="L1" s="27"/>
      <c r="M1" s="27"/>
      <c r="N1" s="27"/>
      <c r="O1" s="27"/>
      <c r="P1" s="27"/>
    </row>
    <row r="2" spans="1:16">
      <c r="A2" s="27"/>
      <c r="B2" s="28"/>
      <c r="C2" s="28"/>
      <c r="D2" s="28"/>
      <c r="E2" s="27"/>
      <c r="F2" s="27"/>
      <c r="G2" s="28"/>
      <c r="H2" s="28"/>
      <c r="I2" s="28"/>
      <c r="J2" s="27"/>
      <c r="K2" s="27"/>
      <c r="L2" s="27"/>
      <c r="M2" s="27"/>
      <c r="N2" s="27"/>
      <c r="O2" s="27"/>
      <c r="P2" s="27"/>
    </row>
    <row r="3" spans="1:16">
      <c r="A3" s="27" t="s">
        <v>10</v>
      </c>
      <c r="B3" s="28">
        <v>16549611</v>
      </c>
      <c r="C3" s="28">
        <v>17049688</v>
      </c>
      <c r="D3" s="28">
        <v>33599299</v>
      </c>
      <c r="E3" s="28">
        <v>25621485</v>
      </c>
      <c r="F3" s="28">
        <v>22994409</v>
      </c>
      <c r="G3" s="28">
        <v>48615894</v>
      </c>
      <c r="H3" s="29">
        <v>27136662</v>
      </c>
      <c r="I3" s="29">
        <v>24537685</v>
      </c>
      <c r="J3" s="30">
        <v>51674347</v>
      </c>
      <c r="K3" s="27"/>
      <c r="L3" s="27"/>
      <c r="M3" s="27"/>
      <c r="N3" s="27"/>
      <c r="O3" s="27"/>
      <c r="P3" s="27"/>
    </row>
    <row r="4" spans="1:16">
      <c r="A4" s="27" t="s">
        <v>1546</v>
      </c>
      <c r="B4" s="28">
        <v>51064604</v>
      </c>
      <c r="C4" s="28">
        <v>51012359</v>
      </c>
      <c r="D4" s="28">
        <v>102076963</v>
      </c>
      <c r="E4" s="7">
        <v>67002253</v>
      </c>
      <c r="F4" s="7">
        <v>62364475</v>
      </c>
      <c r="G4" s="28">
        <v>129366728</v>
      </c>
      <c r="H4" s="29">
        <v>77165865</v>
      </c>
      <c r="I4" s="29">
        <v>68554741</v>
      </c>
      <c r="J4" s="30">
        <v>145720606</v>
      </c>
      <c r="K4" s="27"/>
      <c r="L4" s="27"/>
      <c r="M4" s="27"/>
      <c r="N4" s="27"/>
      <c r="O4" s="27"/>
      <c r="P4" s="27"/>
    </row>
    <row r="5" spans="1:16">
      <c r="A5" s="27" t="s">
        <v>11</v>
      </c>
      <c r="B5" s="28">
        <v>151700925</v>
      </c>
      <c r="C5" s="28">
        <v>152240424</v>
      </c>
      <c r="D5" s="28">
        <v>303941349</v>
      </c>
      <c r="E5" s="61">
        <v>83555491</v>
      </c>
      <c r="F5" s="61">
        <v>83800486</v>
      </c>
      <c r="G5" s="28">
        <v>167355977</v>
      </c>
      <c r="H5" s="29">
        <v>84318720</v>
      </c>
      <c r="I5" s="29">
        <v>84162812</v>
      </c>
      <c r="J5" s="30">
        <v>168481532</v>
      </c>
      <c r="K5" s="27"/>
      <c r="L5" s="27"/>
      <c r="M5" s="27"/>
      <c r="N5" s="27"/>
      <c r="O5" s="27"/>
      <c r="P5" s="27"/>
    </row>
    <row r="6" spans="1:16">
      <c r="A6" s="31" t="s">
        <v>12</v>
      </c>
      <c r="B6" s="32">
        <v>22312167</v>
      </c>
      <c r="C6" s="32">
        <v>12329311</v>
      </c>
      <c r="D6" s="28">
        <v>34641478</v>
      </c>
      <c r="E6" s="61"/>
      <c r="F6" s="61"/>
      <c r="G6" s="28">
        <v>0</v>
      </c>
      <c r="H6" s="29"/>
      <c r="I6" s="29"/>
      <c r="J6" s="30">
        <v>0</v>
      </c>
      <c r="K6" s="27"/>
      <c r="L6" s="27"/>
      <c r="M6" s="27"/>
      <c r="N6" s="27"/>
      <c r="O6" s="27"/>
      <c r="P6" s="27"/>
    </row>
    <row r="7" spans="1:16">
      <c r="A7" s="27" t="s">
        <v>13</v>
      </c>
      <c r="B7" s="28">
        <v>618477</v>
      </c>
      <c r="C7" s="28">
        <v>625906</v>
      </c>
      <c r="D7" s="28">
        <v>1244383</v>
      </c>
      <c r="E7" s="61">
        <v>841725</v>
      </c>
      <c r="F7" s="6">
        <v>826512</v>
      </c>
      <c r="G7" s="28">
        <v>1340190</v>
      </c>
      <c r="H7" s="29">
        <v>841725</v>
      </c>
      <c r="I7" s="29">
        <v>826512</v>
      </c>
      <c r="J7" s="30">
        <v>1668237</v>
      </c>
      <c r="K7" s="27"/>
      <c r="L7" s="27"/>
      <c r="M7" s="27"/>
      <c r="N7" s="27"/>
      <c r="O7" s="27"/>
      <c r="P7" s="27"/>
    </row>
    <row r="8" spans="1:16">
      <c r="A8" s="33" t="s">
        <v>14</v>
      </c>
      <c r="B8" s="28"/>
      <c r="C8" s="28"/>
      <c r="D8" s="28">
        <v>0</v>
      </c>
      <c r="E8" s="7">
        <v>2537778</v>
      </c>
      <c r="F8" s="7">
        <v>2543852</v>
      </c>
      <c r="G8" s="28">
        <v>5081630</v>
      </c>
      <c r="H8" s="29">
        <v>2537778</v>
      </c>
      <c r="I8" s="29">
        <v>2543852</v>
      </c>
      <c r="J8" s="30">
        <v>5081630</v>
      </c>
      <c r="K8" s="27"/>
      <c r="L8" s="27"/>
      <c r="M8" s="27"/>
      <c r="N8" s="27"/>
      <c r="O8" s="27"/>
      <c r="P8" s="27"/>
    </row>
    <row r="9" spans="1:16">
      <c r="A9" s="27" t="s">
        <v>15</v>
      </c>
      <c r="B9" s="28">
        <v>2932407</v>
      </c>
      <c r="C9" s="28">
        <v>2582422</v>
      </c>
      <c r="D9" s="28">
        <v>5514829</v>
      </c>
      <c r="E9" s="7">
        <v>2390338</v>
      </c>
      <c r="F9" s="7">
        <v>2408628</v>
      </c>
      <c r="G9" s="28">
        <v>4798966</v>
      </c>
      <c r="H9" s="29">
        <v>2390338</v>
      </c>
      <c r="I9" s="29">
        <v>2408628</v>
      </c>
      <c r="J9" s="30">
        <v>4798966</v>
      </c>
      <c r="K9" s="27"/>
      <c r="L9" s="27"/>
      <c r="M9" s="27"/>
      <c r="N9" s="27"/>
      <c r="O9" s="27"/>
      <c r="P9" s="27"/>
    </row>
    <row r="10" spans="1:16">
      <c r="A10" s="27" t="s">
        <v>16</v>
      </c>
      <c r="B10" s="28">
        <v>406070</v>
      </c>
      <c r="C10" s="28">
        <v>410665</v>
      </c>
      <c r="D10" s="28">
        <v>816735</v>
      </c>
      <c r="E10" s="7">
        <v>407385</v>
      </c>
      <c r="F10" s="7">
        <v>412195</v>
      </c>
      <c r="G10" s="28">
        <v>819580</v>
      </c>
      <c r="H10" s="29">
        <v>407385</v>
      </c>
      <c r="I10" s="29">
        <v>412195</v>
      </c>
      <c r="J10" s="30">
        <v>819580</v>
      </c>
      <c r="K10" s="27"/>
      <c r="L10" s="27"/>
      <c r="M10" s="27"/>
      <c r="N10" s="27"/>
      <c r="O10" s="27"/>
      <c r="P10" s="27"/>
    </row>
    <row r="11" spans="1:16">
      <c r="A11" s="31" t="s">
        <v>17</v>
      </c>
      <c r="B11" s="28">
        <v>23832711</v>
      </c>
      <c r="C11" s="28">
        <v>25547518</v>
      </c>
      <c r="D11" s="28">
        <v>49380229</v>
      </c>
      <c r="E11" s="7"/>
      <c r="F11" s="7"/>
      <c r="G11" s="28">
        <v>0</v>
      </c>
      <c r="H11" s="29"/>
      <c r="I11" s="29"/>
      <c r="J11" s="30">
        <v>0</v>
      </c>
      <c r="K11" s="27"/>
      <c r="L11" s="27"/>
      <c r="M11" s="27"/>
      <c r="N11" s="27"/>
      <c r="O11" s="27"/>
      <c r="P11" s="27"/>
    </row>
    <row r="12" spans="1:16">
      <c r="A12" s="27" t="s">
        <v>18</v>
      </c>
      <c r="B12" s="28">
        <v>4495012</v>
      </c>
      <c r="C12" s="28">
        <v>5014620</v>
      </c>
      <c r="D12" s="28">
        <v>9509632</v>
      </c>
      <c r="E12" s="7">
        <v>15742518</v>
      </c>
      <c r="F12" s="7">
        <v>16091706</v>
      </c>
      <c r="G12" s="28">
        <v>31834223</v>
      </c>
      <c r="H12" s="29">
        <v>9299217</v>
      </c>
      <c r="I12" s="29">
        <v>9828090</v>
      </c>
      <c r="J12" s="30">
        <v>19127307</v>
      </c>
      <c r="K12" s="27"/>
      <c r="L12" s="27"/>
      <c r="M12" s="27"/>
      <c r="N12" s="27"/>
      <c r="O12" s="27"/>
      <c r="P12" s="27"/>
    </row>
    <row r="13" spans="1:16">
      <c r="A13" s="27" t="s">
        <v>19</v>
      </c>
      <c r="B13" s="28">
        <v>439781</v>
      </c>
      <c r="C13" s="28">
        <v>479208</v>
      </c>
      <c r="D13" s="28">
        <v>918989</v>
      </c>
      <c r="E13" s="7">
        <v>384396</v>
      </c>
      <c r="F13" s="7">
        <v>361732</v>
      </c>
      <c r="G13" s="28">
        <v>746128</v>
      </c>
      <c r="H13" s="29">
        <v>384396</v>
      </c>
      <c r="I13" s="29">
        <v>361732</v>
      </c>
      <c r="J13" s="30">
        <v>746128</v>
      </c>
      <c r="K13" s="27"/>
      <c r="L13" s="27"/>
      <c r="M13" s="27"/>
      <c r="N13" s="27"/>
      <c r="O13" s="27"/>
      <c r="P13" s="27"/>
    </row>
    <row r="14" spans="1:16">
      <c r="A14" s="27" t="s">
        <v>20</v>
      </c>
      <c r="B14" s="28">
        <v>153149852</v>
      </c>
      <c r="C14" s="28">
        <v>145392556</v>
      </c>
      <c r="D14" s="28">
        <v>298542408</v>
      </c>
      <c r="E14" s="7">
        <v>157026822</v>
      </c>
      <c r="F14" s="7">
        <v>153073723</v>
      </c>
      <c r="G14" s="28">
        <v>310100545</v>
      </c>
      <c r="H14" s="29">
        <v>172500001</v>
      </c>
      <c r="I14" s="29">
        <v>170166618</v>
      </c>
      <c r="J14" s="30">
        <v>342666619</v>
      </c>
      <c r="K14" s="27"/>
      <c r="L14" s="27"/>
      <c r="M14" s="27"/>
      <c r="N14" s="27"/>
      <c r="O14" s="27"/>
      <c r="P14" s="27"/>
    </row>
    <row r="15" spans="1:16">
      <c r="A15" s="27" t="s">
        <v>21</v>
      </c>
      <c r="B15" s="28">
        <v>12990513</v>
      </c>
      <c r="C15" s="28">
        <v>11010104</v>
      </c>
      <c r="D15" s="28">
        <v>24000617</v>
      </c>
      <c r="E15" s="7">
        <v>161749251</v>
      </c>
      <c r="F15" s="7">
        <v>160517323</v>
      </c>
      <c r="G15" s="28">
        <v>322266573</v>
      </c>
      <c r="H15" s="29">
        <v>163289782</v>
      </c>
      <c r="I15" s="29">
        <v>161973091</v>
      </c>
      <c r="J15" s="30">
        <v>325262873</v>
      </c>
      <c r="K15" s="27"/>
      <c r="L15" s="27"/>
      <c r="M15" s="27"/>
      <c r="N15" s="27"/>
      <c r="O15" s="27"/>
      <c r="P15" s="27"/>
    </row>
    <row r="16" spans="1:16">
      <c r="A16" s="27" t="s">
        <v>22</v>
      </c>
      <c r="B16" s="28">
        <v>140648949</v>
      </c>
      <c r="C16" s="28">
        <v>112253076</v>
      </c>
      <c r="D16" s="28">
        <v>252902025</v>
      </c>
      <c r="E16" s="7">
        <v>118459869</v>
      </c>
      <c r="F16" s="7">
        <v>116660116</v>
      </c>
      <c r="G16" s="28">
        <v>235119985</v>
      </c>
      <c r="H16" s="29">
        <v>146130412</v>
      </c>
      <c r="I16" s="29">
        <v>141227357</v>
      </c>
      <c r="J16" s="30">
        <v>287357769</v>
      </c>
      <c r="K16" s="27"/>
      <c r="L16" s="27"/>
      <c r="M16" s="27"/>
      <c r="N16" s="27"/>
      <c r="O16" s="27"/>
      <c r="P16" s="27"/>
    </row>
    <row r="17" spans="1:16">
      <c r="A17" s="27" t="s">
        <v>23</v>
      </c>
      <c r="B17" s="28">
        <v>97907813</v>
      </c>
      <c r="C17" s="28">
        <v>97735661</v>
      </c>
      <c r="D17" s="28">
        <v>195643474</v>
      </c>
      <c r="E17" s="7">
        <v>117451220</v>
      </c>
      <c r="F17" s="7">
        <v>108801471</v>
      </c>
      <c r="G17" s="28">
        <v>226252691</v>
      </c>
      <c r="H17" s="29">
        <v>130204088</v>
      </c>
      <c r="I17" s="29">
        <v>124081812</v>
      </c>
      <c r="J17" s="30">
        <v>254285900</v>
      </c>
      <c r="K17" s="27"/>
      <c r="L17" s="27"/>
      <c r="M17" s="27"/>
      <c r="N17" s="27"/>
      <c r="O17" s="27"/>
      <c r="P17" s="27"/>
    </row>
    <row r="18" spans="1:16">
      <c r="A18" s="27" t="s">
        <v>24</v>
      </c>
      <c r="B18" s="28">
        <v>284348217</v>
      </c>
      <c r="C18" s="28">
        <v>284002926</v>
      </c>
      <c r="D18" s="28">
        <v>568351143</v>
      </c>
      <c r="E18" s="7">
        <v>295272351</v>
      </c>
      <c r="F18" s="7">
        <v>300956880</v>
      </c>
      <c r="G18" s="28">
        <v>596229231</v>
      </c>
      <c r="H18" s="29">
        <v>298168129</v>
      </c>
      <c r="I18" s="29">
        <v>305517754</v>
      </c>
      <c r="J18" s="30">
        <v>603685883</v>
      </c>
      <c r="K18" s="27"/>
      <c r="L18" s="27"/>
      <c r="M18" s="27"/>
      <c r="N18" s="27"/>
      <c r="O18" s="27"/>
      <c r="P18" s="27"/>
    </row>
    <row r="19" spans="1:16">
      <c r="A19" s="31" t="s">
        <v>25</v>
      </c>
      <c r="B19" s="28">
        <v>207233</v>
      </c>
      <c r="C19" s="28"/>
      <c r="D19" s="28">
        <v>207233</v>
      </c>
      <c r="E19" s="7"/>
      <c r="F19" s="7"/>
      <c r="G19" s="28">
        <v>0</v>
      </c>
      <c r="H19" s="29"/>
      <c r="I19" s="29"/>
      <c r="J19" s="30">
        <v>0</v>
      </c>
      <c r="K19" s="27"/>
      <c r="L19" s="27"/>
      <c r="M19" s="27"/>
      <c r="N19" s="27"/>
      <c r="O19" s="27"/>
      <c r="P19" s="27"/>
    </row>
    <row r="20" spans="1:16">
      <c r="A20" s="27" t="s">
        <v>26</v>
      </c>
      <c r="B20" s="28">
        <v>1572031334</v>
      </c>
      <c r="C20" s="28">
        <v>1582307419</v>
      </c>
      <c r="D20" s="28">
        <v>3154338753</v>
      </c>
      <c r="E20" s="7">
        <v>1856088884</v>
      </c>
      <c r="F20" s="7">
        <v>1825559478</v>
      </c>
      <c r="G20" s="28">
        <v>3681648362</v>
      </c>
      <c r="H20" s="29">
        <v>2166462114</v>
      </c>
      <c r="I20" s="29">
        <v>2228500169</v>
      </c>
      <c r="J20" s="30">
        <v>4394962283</v>
      </c>
      <c r="K20" s="27"/>
      <c r="L20" s="27"/>
      <c r="M20" s="27"/>
      <c r="N20" s="27"/>
      <c r="O20" s="27"/>
      <c r="P20" s="27"/>
    </row>
    <row r="21" spans="1:16">
      <c r="A21" s="27" t="s">
        <v>1583</v>
      </c>
      <c r="B21" s="28">
        <v>188563396</v>
      </c>
      <c r="C21" s="28">
        <v>185574787</v>
      </c>
      <c r="D21" s="28">
        <v>374138183</v>
      </c>
      <c r="E21" s="7">
        <v>160351952</v>
      </c>
      <c r="F21" s="7">
        <v>157636972</v>
      </c>
      <c r="G21" s="28">
        <v>317988925</v>
      </c>
      <c r="H21" s="29">
        <v>161928014</v>
      </c>
      <c r="I21" s="29">
        <v>159930748</v>
      </c>
      <c r="J21" s="30">
        <v>321858762</v>
      </c>
      <c r="K21" s="27"/>
      <c r="L21" s="27"/>
      <c r="M21" s="27"/>
      <c r="N21" s="27"/>
      <c r="O21" s="27"/>
      <c r="P21" s="27"/>
    </row>
    <row r="22" spans="1:16">
      <c r="A22" s="27" t="s">
        <v>1584</v>
      </c>
      <c r="B22" s="28">
        <v>2987081179</v>
      </c>
      <c r="C22" s="28">
        <v>3098842069</v>
      </c>
      <c r="D22" s="28">
        <v>6085923248</v>
      </c>
      <c r="E22" s="7">
        <v>4656303957.5199995</v>
      </c>
      <c r="F22" s="7">
        <v>4769202305.8504</v>
      </c>
      <c r="G22" s="28">
        <v>9425506263.3703995</v>
      </c>
      <c r="H22" s="29">
        <v>4716068253</v>
      </c>
      <c r="I22" s="29">
        <v>4850396363</v>
      </c>
      <c r="J22" s="30">
        <v>9566464616</v>
      </c>
      <c r="K22" s="27"/>
      <c r="L22" s="27"/>
      <c r="M22" s="27"/>
      <c r="N22" s="27"/>
      <c r="O22" s="27"/>
      <c r="P22" s="27"/>
    </row>
    <row r="23" spans="1:16">
      <c r="A23" s="27" t="s">
        <v>1585</v>
      </c>
      <c r="B23" s="28">
        <v>120389433</v>
      </c>
      <c r="C23" s="28">
        <v>123885999</v>
      </c>
      <c r="D23" s="28">
        <v>244275432</v>
      </c>
      <c r="E23" s="7">
        <v>158485717</v>
      </c>
      <c r="F23" s="7">
        <v>158279470</v>
      </c>
      <c r="G23" s="28">
        <v>316765187</v>
      </c>
      <c r="H23" s="29">
        <v>161797620</v>
      </c>
      <c r="I23" s="29">
        <v>164331269</v>
      </c>
      <c r="J23" s="30">
        <v>326128889</v>
      </c>
      <c r="K23" s="27"/>
      <c r="L23" s="27"/>
      <c r="M23" s="27"/>
      <c r="N23" s="27"/>
      <c r="O23" s="27"/>
      <c r="P23" s="27"/>
    </row>
    <row r="24" spans="1:16">
      <c r="A24" s="27" t="s">
        <v>1586</v>
      </c>
      <c r="B24" s="28">
        <v>190491517</v>
      </c>
      <c r="C24" s="28">
        <v>189308772</v>
      </c>
      <c r="D24" s="28">
        <v>379800289</v>
      </c>
      <c r="E24" s="7">
        <v>206357312.25999999</v>
      </c>
      <c r="F24" s="7">
        <v>203528460.91719997</v>
      </c>
      <c r="G24" s="28">
        <v>409885773.17719996</v>
      </c>
      <c r="H24" s="29">
        <v>216460876</v>
      </c>
      <c r="I24" s="29">
        <v>217827761</v>
      </c>
      <c r="J24" s="30">
        <v>434288637</v>
      </c>
      <c r="K24" s="27"/>
      <c r="L24" s="27"/>
      <c r="M24" s="27"/>
      <c r="N24" s="27"/>
      <c r="O24" s="27"/>
      <c r="P24" s="27"/>
    </row>
    <row r="25" spans="1:16">
      <c r="A25" s="27" t="s">
        <v>27</v>
      </c>
      <c r="B25" s="28">
        <v>26513534</v>
      </c>
      <c r="C25" s="28">
        <v>26393917</v>
      </c>
      <c r="D25" s="28">
        <v>52907451</v>
      </c>
      <c r="E25" s="7">
        <v>27977552</v>
      </c>
      <c r="F25" s="7">
        <v>28537103</v>
      </c>
      <c r="G25" s="28">
        <v>56514655</v>
      </c>
      <c r="H25" s="29">
        <v>30904611</v>
      </c>
      <c r="I25" s="29">
        <v>30623013</v>
      </c>
      <c r="J25" s="30">
        <v>61527624</v>
      </c>
      <c r="K25" s="27"/>
      <c r="L25" s="27"/>
      <c r="M25" s="27"/>
      <c r="N25" s="27"/>
      <c r="O25" s="27"/>
      <c r="P25" s="27"/>
    </row>
    <row r="26" spans="1:16">
      <c r="A26" s="33" t="s">
        <v>28</v>
      </c>
      <c r="B26" s="28"/>
      <c r="C26" s="28"/>
      <c r="D26" s="28">
        <v>0</v>
      </c>
      <c r="E26" s="7">
        <v>8730096</v>
      </c>
      <c r="F26" s="7">
        <v>8843322</v>
      </c>
      <c r="G26" s="28">
        <v>17573418</v>
      </c>
      <c r="H26" s="29">
        <v>34832187</v>
      </c>
      <c r="I26" s="29">
        <v>34948241</v>
      </c>
      <c r="J26" s="30">
        <v>69780428</v>
      </c>
      <c r="K26" s="27"/>
      <c r="L26" s="27"/>
      <c r="M26" s="27"/>
      <c r="N26" s="27"/>
      <c r="O26" s="27"/>
      <c r="P26" s="27"/>
    </row>
    <row r="27" spans="1:16">
      <c r="A27" s="27" t="s">
        <v>1587</v>
      </c>
      <c r="B27" s="28">
        <v>573866185</v>
      </c>
      <c r="C27" s="28">
        <v>565376101</v>
      </c>
      <c r="D27" s="28">
        <v>1139242286</v>
      </c>
      <c r="E27" s="7">
        <v>746094798</v>
      </c>
      <c r="F27" s="7">
        <v>798802442</v>
      </c>
      <c r="G27" s="28">
        <v>1544897239</v>
      </c>
      <c r="H27" s="29">
        <v>748678159</v>
      </c>
      <c r="I27" s="29">
        <v>800735563</v>
      </c>
      <c r="J27" s="30">
        <v>1549413722</v>
      </c>
      <c r="K27" s="27"/>
      <c r="L27" s="27"/>
      <c r="M27" s="27"/>
      <c r="N27" s="27"/>
      <c r="O27" s="27"/>
      <c r="P27" s="27"/>
    </row>
    <row r="28" spans="1:16">
      <c r="A28" s="33" t="s">
        <v>29</v>
      </c>
      <c r="B28" s="28"/>
      <c r="C28" s="28"/>
      <c r="D28" s="28">
        <v>0</v>
      </c>
      <c r="E28" s="7">
        <v>30088316</v>
      </c>
      <c r="F28" s="7">
        <v>30292913</v>
      </c>
      <c r="G28" s="28">
        <v>60381229</v>
      </c>
      <c r="H28" s="29">
        <v>30088316</v>
      </c>
      <c r="I28" s="29">
        <v>30292913</v>
      </c>
      <c r="J28" s="30">
        <v>60381229</v>
      </c>
      <c r="K28" s="27"/>
      <c r="L28" s="27"/>
      <c r="M28" s="27"/>
      <c r="N28" s="27"/>
      <c r="O28" s="27"/>
      <c r="P28" s="27"/>
    </row>
    <row r="29" spans="1:16">
      <c r="A29" s="27" t="s">
        <v>30</v>
      </c>
      <c r="B29" s="28">
        <v>65306250</v>
      </c>
      <c r="C29" s="28">
        <v>62933978</v>
      </c>
      <c r="D29" s="28">
        <v>128240228</v>
      </c>
      <c r="E29" s="7">
        <v>43397479</v>
      </c>
      <c r="F29" s="7">
        <v>43111575</v>
      </c>
      <c r="G29" s="28">
        <v>86509054</v>
      </c>
      <c r="H29" s="29">
        <v>43519888</v>
      </c>
      <c r="I29" s="29">
        <v>43143285</v>
      </c>
      <c r="J29" s="30">
        <v>86663173</v>
      </c>
      <c r="K29" s="27"/>
      <c r="L29" s="27"/>
      <c r="M29" s="27"/>
      <c r="N29" s="27"/>
      <c r="O29" s="27"/>
      <c r="P29" s="27"/>
    </row>
    <row r="30" spans="1:16">
      <c r="A30" s="27" t="s">
        <v>31</v>
      </c>
      <c r="B30" s="28">
        <v>60865923</v>
      </c>
      <c r="C30" s="28">
        <v>61713682</v>
      </c>
      <c r="D30" s="28">
        <v>122579605</v>
      </c>
      <c r="E30" s="7">
        <v>61095367</v>
      </c>
      <c r="F30" s="7">
        <v>61960646</v>
      </c>
      <c r="G30" s="28">
        <v>123056013</v>
      </c>
      <c r="H30" s="29">
        <v>61740505</v>
      </c>
      <c r="I30" s="29">
        <v>62196561</v>
      </c>
      <c r="J30" s="30">
        <v>123937066</v>
      </c>
      <c r="K30" s="27"/>
      <c r="L30" s="27"/>
      <c r="M30" s="27"/>
      <c r="N30" s="27"/>
      <c r="O30" s="27"/>
      <c r="P30" s="27"/>
    </row>
    <row r="31" spans="1:16">
      <c r="A31" s="27" t="s">
        <v>32</v>
      </c>
      <c r="B31" s="28">
        <v>13241025</v>
      </c>
      <c r="C31" s="28">
        <v>12944785</v>
      </c>
      <c r="D31" s="28">
        <v>26185810</v>
      </c>
      <c r="E31" s="7">
        <v>8277284</v>
      </c>
      <c r="F31" s="7">
        <v>8433237</v>
      </c>
      <c r="G31" s="28">
        <v>16710521</v>
      </c>
      <c r="H31" s="29">
        <v>25725752</v>
      </c>
      <c r="I31" s="29">
        <v>27222167</v>
      </c>
      <c r="J31" s="30">
        <v>52947919</v>
      </c>
      <c r="K31" s="27"/>
      <c r="L31" s="27"/>
      <c r="M31" s="27"/>
      <c r="N31" s="27"/>
      <c r="O31" s="27"/>
      <c r="P31" s="27"/>
    </row>
    <row r="32" spans="1:16">
      <c r="A32" s="33" t="s">
        <v>33</v>
      </c>
      <c r="B32" s="28"/>
      <c r="C32" s="28"/>
      <c r="D32" s="28">
        <v>0</v>
      </c>
      <c r="E32" s="7">
        <v>5940171</v>
      </c>
      <c r="F32" s="7">
        <v>5902494</v>
      </c>
      <c r="G32" s="28">
        <v>11842665</v>
      </c>
      <c r="H32" s="29">
        <v>48520715</v>
      </c>
      <c r="I32" s="29">
        <v>40087359</v>
      </c>
      <c r="J32" s="30">
        <v>88608074</v>
      </c>
      <c r="K32" s="27"/>
      <c r="L32" s="27"/>
      <c r="M32" s="27"/>
      <c r="N32" s="27"/>
      <c r="O32" s="27"/>
      <c r="P32" s="27"/>
    </row>
    <row r="33" spans="1:16">
      <c r="A33" s="33" t="s">
        <v>34</v>
      </c>
      <c r="B33" s="28"/>
      <c r="C33" s="28"/>
      <c r="D33" s="28">
        <v>0</v>
      </c>
      <c r="E33" s="7">
        <v>59890221</v>
      </c>
      <c r="F33" s="7">
        <v>59847878</v>
      </c>
      <c r="G33" s="28">
        <v>119738099</v>
      </c>
      <c r="H33" s="29">
        <v>62976449</v>
      </c>
      <c r="I33" s="29">
        <v>61834258</v>
      </c>
      <c r="J33" s="30">
        <v>124810707</v>
      </c>
      <c r="K33" s="27"/>
      <c r="L33" s="27"/>
      <c r="M33" s="27"/>
      <c r="N33" s="27"/>
      <c r="O33" s="27"/>
      <c r="P33" s="27"/>
    </row>
    <row r="34" spans="1:16">
      <c r="A34" s="27" t="s">
        <v>35</v>
      </c>
      <c r="B34" s="28">
        <v>695047</v>
      </c>
      <c r="C34" s="28">
        <v>684187</v>
      </c>
      <c r="D34" s="28">
        <v>1379234</v>
      </c>
      <c r="E34" s="7">
        <v>725238</v>
      </c>
      <c r="F34" s="7">
        <v>739743</v>
      </c>
      <c r="G34" s="28">
        <v>1464981</v>
      </c>
      <c r="H34" s="29">
        <v>837860</v>
      </c>
      <c r="I34" s="29">
        <v>792436</v>
      </c>
      <c r="J34" s="30">
        <v>1630296</v>
      </c>
      <c r="K34" s="27"/>
      <c r="L34" s="27"/>
      <c r="M34" s="27"/>
      <c r="N34" s="27"/>
      <c r="O34" s="27"/>
      <c r="P34" s="27"/>
    </row>
    <row r="35" spans="1:16">
      <c r="A35" s="27" t="s">
        <v>162</v>
      </c>
      <c r="B35" s="28">
        <v>32453602</v>
      </c>
      <c r="C35" s="28">
        <v>32463644</v>
      </c>
      <c r="D35" s="28">
        <v>64917246</v>
      </c>
      <c r="E35" s="7">
        <v>33119370</v>
      </c>
      <c r="F35" s="7">
        <v>34341814</v>
      </c>
      <c r="G35" s="28">
        <v>67461184</v>
      </c>
      <c r="H35" s="29">
        <v>35346572</v>
      </c>
      <c r="I35" s="29">
        <v>34674905</v>
      </c>
      <c r="J35" s="30">
        <v>70021477</v>
      </c>
      <c r="K35" s="27"/>
      <c r="L35" s="27"/>
      <c r="M35" s="27"/>
      <c r="N35" s="27"/>
      <c r="O35" s="27"/>
      <c r="P35" s="27"/>
    </row>
    <row r="36" spans="1:16">
      <c r="A36" s="27" t="s">
        <v>36</v>
      </c>
      <c r="B36" s="28">
        <v>462568</v>
      </c>
      <c r="C36" s="28">
        <v>495045</v>
      </c>
      <c r="D36" s="28">
        <v>957613</v>
      </c>
      <c r="E36" s="7">
        <v>502763</v>
      </c>
      <c r="F36" s="7">
        <v>512818</v>
      </c>
      <c r="G36" s="28">
        <v>1015581</v>
      </c>
      <c r="H36" s="29">
        <v>552817</v>
      </c>
      <c r="I36" s="29">
        <v>587758</v>
      </c>
      <c r="J36" s="30">
        <v>1140575</v>
      </c>
      <c r="K36" s="27"/>
      <c r="L36" s="27"/>
      <c r="M36" s="27"/>
      <c r="N36" s="27"/>
      <c r="O36" s="27"/>
      <c r="P36" s="27"/>
    </row>
    <row r="37" spans="1:16">
      <c r="A37" s="27" t="s">
        <v>1588</v>
      </c>
      <c r="B37" s="28">
        <v>695192301</v>
      </c>
      <c r="C37" s="28">
        <v>625262321</v>
      </c>
      <c r="D37" s="28">
        <v>1320454622</v>
      </c>
      <c r="E37" s="7">
        <v>729563789</v>
      </c>
      <c r="F37" s="7">
        <v>760071244</v>
      </c>
      <c r="G37" s="28">
        <v>1489635034</v>
      </c>
      <c r="H37" s="29">
        <v>808012534</v>
      </c>
      <c r="I37" s="29">
        <v>828776828</v>
      </c>
      <c r="J37" s="30">
        <v>1636789362</v>
      </c>
      <c r="K37" s="27"/>
      <c r="L37" s="27"/>
      <c r="M37" s="27"/>
      <c r="N37" s="27"/>
      <c r="O37" s="27"/>
      <c r="P37" s="27"/>
    </row>
    <row r="38" spans="1:16">
      <c r="A38" s="31" t="s">
        <v>37</v>
      </c>
      <c r="B38" s="28">
        <v>18855635</v>
      </c>
      <c r="C38" s="28">
        <v>20070941</v>
      </c>
      <c r="D38" s="28">
        <v>38926576</v>
      </c>
      <c r="E38" s="7"/>
      <c r="F38" s="7"/>
      <c r="G38" s="28">
        <v>0</v>
      </c>
      <c r="H38" s="29"/>
      <c r="I38" s="29"/>
      <c r="J38" s="30">
        <v>0</v>
      </c>
      <c r="K38" s="27"/>
      <c r="L38" s="27"/>
      <c r="M38" s="27"/>
      <c r="N38" s="27"/>
      <c r="O38" s="27"/>
      <c r="P38" s="27"/>
    </row>
    <row r="39" spans="1:16">
      <c r="A39" s="27" t="s">
        <v>1589</v>
      </c>
      <c r="B39" s="28">
        <v>711966652</v>
      </c>
      <c r="C39" s="28">
        <v>749353281</v>
      </c>
      <c r="D39" s="28">
        <v>1461319933</v>
      </c>
      <c r="E39" s="7">
        <v>731980407</v>
      </c>
      <c r="F39" s="7">
        <v>697317666</v>
      </c>
      <c r="G39" s="28">
        <v>1429298073</v>
      </c>
      <c r="H39" s="29">
        <v>731980407</v>
      </c>
      <c r="I39" s="29">
        <v>697403827</v>
      </c>
      <c r="J39" s="30">
        <v>1429384234</v>
      </c>
      <c r="K39" s="27"/>
      <c r="L39" s="27"/>
      <c r="M39" s="27"/>
      <c r="N39" s="27"/>
      <c r="O39" s="27"/>
      <c r="P39" s="27"/>
    </row>
    <row r="40" spans="1:16">
      <c r="A40" s="27" t="s">
        <v>1590</v>
      </c>
      <c r="B40" s="28">
        <v>10500848</v>
      </c>
      <c r="C40" s="28">
        <v>10629127</v>
      </c>
      <c r="D40" s="28">
        <v>21129975</v>
      </c>
      <c r="E40" s="7">
        <v>10350218</v>
      </c>
      <c r="F40" s="7">
        <v>10609476</v>
      </c>
      <c r="G40" s="28">
        <v>20959693</v>
      </c>
      <c r="H40" s="29">
        <v>10949444</v>
      </c>
      <c r="I40" s="29">
        <v>11183323</v>
      </c>
      <c r="J40" s="30">
        <v>22132767</v>
      </c>
      <c r="K40" s="27"/>
      <c r="L40" s="27"/>
      <c r="M40" s="27"/>
      <c r="N40" s="27"/>
      <c r="O40" s="27"/>
      <c r="P40" s="27"/>
    </row>
    <row r="41" spans="1:16">
      <c r="A41" s="27" t="s">
        <v>1591</v>
      </c>
      <c r="B41" s="28">
        <v>13076728</v>
      </c>
      <c r="C41" s="28">
        <v>13038813</v>
      </c>
      <c r="D41" s="28">
        <v>26115541</v>
      </c>
      <c r="E41" s="7">
        <v>14689459</v>
      </c>
      <c r="F41" s="7">
        <v>14082116</v>
      </c>
      <c r="G41" s="28">
        <v>28771575</v>
      </c>
      <c r="H41" s="29">
        <v>14689459</v>
      </c>
      <c r="I41" s="29">
        <v>14082116</v>
      </c>
      <c r="J41" s="30">
        <v>28771575</v>
      </c>
      <c r="K41" s="27"/>
      <c r="L41" s="27"/>
      <c r="M41" s="27"/>
      <c r="N41" s="27"/>
      <c r="O41" s="27"/>
      <c r="P41" s="27"/>
    </row>
    <row r="42" spans="1:16">
      <c r="A42" s="31" t="s">
        <v>40</v>
      </c>
      <c r="B42" s="28">
        <v>0</v>
      </c>
      <c r="C42" s="28">
        <v>0</v>
      </c>
      <c r="D42" s="28">
        <v>0</v>
      </c>
      <c r="E42" s="7"/>
      <c r="F42" s="7"/>
      <c r="G42" s="28">
        <v>0</v>
      </c>
      <c r="H42" s="29"/>
      <c r="I42" s="29"/>
      <c r="J42" s="30">
        <v>0</v>
      </c>
      <c r="K42" s="27"/>
      <c r="L42" s="27"/>
      <c r="M42" s="27"/>
      <c r="N42" s="27"/>
      <c r="O42" s="27"/>
      <c r="P42" s="27"/>
    </row>
    <row r="43" spans="1:16">
      <c r="A43" s="27" t="s">
        <v>41</v>
      </c>
      <c r="B43" s="28">
        <v>19651714</v>
      </c>
      <c r="C43" s="28">
        <v>17142379</v>
      </c>
      <c r="D43" s="28">
        <v>36794093</v>
      </c>
      <c r="E43" s="7">
        <v>13438293</v>
      </c>
      <c r="F43" s="7">
        <v>12910069</v>
      </c>
      <c r="G43" s="28">
        <v>26348362</v>
      </c>
      <c r="H43" s="29">
        <v>22859764</v>
      </c>
      <c r="I43" s="29">
        <v>25478756</v>
      </c>
      <c r="J43" s="30">
        <v>48338520</v>
      </c>
      <c r="K43" s="27"/>
      <c r="L43" s="27"/>
      <c r="M43" s="27"/>
      <c r="N43" s="27"/>
      <c r="O43" s="27"/>
      <c r="P43" s="27"/>
    </row>
    <row r="44" spans="1:16">
      <c r="A44" s="33" t="s">
        <v>42</v>
      </c>
      <c r="B44" s="28"/>
      <c r="C44" s="28"/>
      <c r="D44" s="28">
        <v>0</v>
      </c>
      <c r="E44" s="7">
        <v>0</v>
      </c>
      <c r="F44" s="7">
        <v>0</v>
      </c>
      <c r="G44" s="28">
        <v>0</v>
      </c>
      <c r="H44" s="29">
        <v>7517597</v>
      </c>
      <c r="I44" s="29">
        <v>7898955</v>
      </c>
      <c r="J44" s="30">
        <v>15416552</v>
      </c>
      <c r="K44" s="27"/>
      <c r="L44" s="27"/>
      <c r="M44" s="27"/>
      <c r="N44" s="27"/>
      <c r="O44" s="27"/>
      <c r="P44" s="27"/>
    </row>
    <row r="45" spans="1:16">
      <c r="A45" s="33" t="s">
        <v>43</v>
      </c>
      <c r="B45" s="28"/>
      <c r="C45" s="28"/>
      <c r="D45" s="28">
        <v>0</v>
      </c>
      <c r="E45" s="7">
        <v>8934678</v>
      </c>
      <c r="F45" s="7">
        <v>9721524</v>
      </c>
      <c r="G45" s="28">
        <v>18656202</v>
      </c>
      <c r="H45" s="29">
        <v>8934678</v>
      </c>
      <c r="I45" s="29">
        <v>9721524</v>
      </c>
      <c r="J45" s="30">
        <v>18656202</v>
      </c>
      <c r="K45" s="27"/>
      <c r="L45" s="27"/>
      <c r="M45" s="27"/>
      <c r="N45" s="27"/>
      <c r="O45" s="27"/>
      <c r="P45" s="27"/>
    </row>
    <row r="46" spans="1:16">
      <c r="A46" s="31" t="s">
        <v>44</v>
      </c>
      <c r="B46" s="28">
        <v>66795124</v>
      </c>
      <c r="C46" s="28">
        <v>67013996</v>
      </c>
      <c r="D46" s="28">
        <v>133809120</v>
      </c>
      <c r="E46" s="7"/>
      <c r="F46" s="7"/>
      <c r="G46" s="28">
        <v>0</v>
      </c>
      <c r="H46" s="29"/>
      <c r="I46" s="29"/>
      <c r="J46" s="30">
        <v>0</v>
      </c>
      <c r="K46" s="27"/>
      <c r="L46" s="27"/>
      <c r="M46" s="27"/>
      <c r="N46" s="27"/>
      <c r="O46" s="27"/>
      <c r="P46" s="27"/>
    </row>
    <row r="47" spans="1:16">
      <c r="A47" s="27" t="s">
        <v>1592</v>
      </c>
      <c r="B47" s="28">
        <v>11987030</v>
      </c>
      <c r="C47" s="28">
        <v>11634159</v>
      </c>
      <c r="D47" s="28">
        <v>23621189</v>
      </c>
      <c r="E47" s="7">
        <v>17168859</v>
      </c>
      <c r="F47" s="7">
        <v>16528859</v>
      </c>
      <c r="G47" s="28">
        <v>33697718</v>
      </c>
      <c r="H47" s="29">
        <v>17168859</v>
      </c>
      <c r="I47" s="29">
        <v>16528859</v>
      </c>
      <c r="J47" s="30">
        <v>33697718</v>
      </c>
      <c r="K47" s="27"/>
      <c r="L47" s="27"/>
      <c r="M47" s="27"/>
      <c r="N47" s="27"/>
      <c r="O47" s="27"/>
      <c r="P47" s="27"/>
    </row>
    <row r="48" spans="1:16">
      <c r="A48" s="27" t="s">
        <v>46</v>
      </c>
      <c r="B48" s="28">
        <v>409755646</v>
      </c>
      <c r="C48" s="28">
        <v>396913075</v>
      </c>
      <c r="D48" s="28">
        <v>806668721</v>
      </c>
      <c r="E48" s="7">
        <v>328865036</v>
      </c>
      <c r="F48" s="7">
        <v>330490816</v>
      </c>
      <c r="G48" s="28">
        <v>659355852</v>
      </c>
      <c r="H48" s="29">
        <v>353797726</v>
      </c>
      <c r="I48" s="29">
        <v>365424790</v>
      </c>
      <c r="J48" s="30">
        <v>719222516</v>
      </c>
      <c r="K48" s="27"/>
      <c r="L48" s="27"/>
      <c r="M48" s="27"/>
      <c r="N48" s="27"/>
      <c r="O48" s="27"/>
      <c r="P48" s="27"/>
    </row>
    <row r="49" spans="1:16">
      <c r="A49" s="33" t="s">
        <v>47</v>
      </c>
      <c r="B49" s="28"/>
      <c r="C49" s="28"/>
      <c r="D49" s="28">
        <v>0</v>
      </c>
      <c r="E49" s="7">
        <v>1455071</v>
      </c>
      <c r="F49" s="7">
        <v>1494458</v>
      </c>
      <c r="G49" s="28">
        <v>2949529</v>
      </c>
      <c r="H49" s="29">
        <v>1455071</v>
      </c>
      <c r="I49" s="29">
        <v>1494458</v>
      </c>
      <c r="J49" s="30">
        <v>2949529</v>
      </c>
      <c r="K49" s="27"/>
      <c r="L49" s="27"/>
      <c r="M49" s="27"/>
      <c r="N49" s="27"/>
      <c r="O49" s="27"/>
      <c r="P49" s="27"/>
    </row>
    <row r="50" spans="1:16">
      <c r="A50" s="66" t="s">
        <v>1601</v>
      </c>
      <c r="B50" s="28"/>
      <c r="C50" s="28"/>
      <c r="D50" s="28"/>
      <c r="E50" s="7">
        <v>100000000</v>
      </c>
      <c r="F50" s="7">
        <v>100000000</v>
      </c>
      <c r="G50" s="28">
        <v>200000000</v>
      </c>
      <c r="H50" s="29"/>
      <c r="I50" s="29"/>
      <c r="J50" s="30"/>
      <c r="K50" s="27"/>
      <c r="L50" s="27"/>
      <c r="M50" s="27"/>
      <c r="N50" s="27"/>
      <c r="O50" s="27"/>
      <c r="P50" s="27"/>
    </row>
    <row r="51" spans="1:16">
      <c r="A51" s="25" t="s">
        <v>1595</v>
      </c>
      <c r="B51" s="28">
        <v>8753347013</v>
      </c>
      <c r="C51" s="28">
        <v>8771668921</v>
      </c>
      <c r="D51" s="28">
        <v>17525015934</v>
      </c>
      <c r="E51" s="28">
        <f>SUM(E3:E50)</f>
        <v>11068315169.779999</v>
      </c>
      <c r="F51" s="28">
        <f>SUM(F3:F50)</f>
        <v>11180572407.767601</v>
      </c>
      <c r="G51" s="28">
        <f>SUM(G3:G50)</f>
        <v>22248559528.5476</v>
      </c>
      <c r="H51" s="28">
        <v>11638580745</v>
      </c>
      <c r="I51" s="28">
        <v>11862721084</v>
      </c>
      <c r="J51" s="28">
        <v>23501301829</v>
      </c>
      <c r="K51" s="27"/>
      <c r="L51" s="27"/>
      <c r="M51" s="27"/>
      <c r="N51" s="27"/>
      <c r="O51" s="27"/>
      <c r="P51" s="27"/>
    </row>
    <row r="52" spans="1:16">
      <c r="A52" s="27"/>
      <c r="B52" s="27"/>
      <c r="C52" s="27"/>
      <c r="D52" s="27"/>
      <c r="E52" s="27"/>
      <c r="F52" s="27"/>
      <c r="G52" s="27"/>
      <c r="H52" s="28"/>
      <c r="I52" s="28"/>
      <c r="J52" s="27"/>
      <c r="K52" s="27"/>
      <c r="L52" s="27"/>
      <c r="M52" s="27"/>
      <c r="N52" s="27"/>
      <c r="O52" s="27"/>
      <c r="P52" s="27"/>
    </row>
    <row r="53" spans="1:16">
      <c r="A53" s="34"/>
      <c r="B53" s="35" t="s">
        <v>1593</v>
      </c>
      <c r="C53" s="27"/>
      <c r="D53" s="27"/>
      <c r="E53" s="27"/>
      <c r="F53" s="27"/>
      <c r="G53" s="27"/>
      <c r="H53" s="28"/>
      <c r="I53" s="28"/>
      <c r="J53" s="27"/>
      <c r="K53" s="27"/>
      <c r="L53" s="27"/>
      <c r="M53" s="27"/>
      <c r="N53" s="27"/>
      <c r="O53" s="27"/>
      <c r="P53" s="27"/>
    </row>
    <row r="54" spans="1:16">
      <c r="A54" s="36"/>
      <c r="B54" s="35" t="s">
        <v>1594</v>
      </c>
      <c r="C54" s="27"/>
      <c r="D54" s="27"/>
      <c r="E54" s="27"/>
      <c r="F54" s="27"/>
      <c r="G54" s="27"/>
      <c r="H54" s="28"/>
      <c r="I54" s="28"/>
      <c r="J54" s="27"/>
      <c r="K54" s="27"/>
      <c r="L54" s="27"/>
      <c r="M54" s="27"/>
      <c r="N54" s="27"/>
      <c r="O54" s="27"/>
      <c r="P54" s="27"/>
    </row>
    <row r="55" spans="1:16">
      <c r="A55" s="27"/>
      <c r="B55" s="27"/>
      <c r="C55" s="27"/>
      <c r="D55" s="27"/>
      <c r="E55" s="27"/>
      <c r="F55" s="27"/>
      <c r="G55" s="27"/>
      <c r="H55" s="28"/>
      <c r="I55" s="28"/>
      <c r="J55" s="27"/>
      <c r="K55" s="27"/>
      <c r="L55" s="27"/>
      <c r="M55" s="27"/>
      <c r="N55" s="27"/>
      <c r="O55" s="27"/>
      <c r="P55" s="27"/>
    </row>
    <row r="56" spans="1:16">
      <c r="A56" s="27"/>
      <c r="B56" s="27"/>
      <c r="C56" s="27"/>
      <c r="D56" s="27"/>
      <c r="E56" s="27"/>
      <c r="F56" s="27"/>
      <c r="G56" s="27"/>
      <c r="H56" s="28"/>
      <c r="I56" s="28"/>
      <c r="J56" s="27"/>
      <c r="K56" s="27"/>
      <c r="L56" s="27"/>
      <c r="M56" s="27"/>
      <c r="N56" s="27"/>
      <c r="O56" s="27"/>
      <c r="P56" s="27"/>
    </row>
    <row r="57" spans="1:16">
      <c r="A57" s="27"/>
      <c r="B57" s="27"/>
      <c r="C57" s="27"/>
      <c r="D57" s="27"/>
      <c r="E57" s="27"/>
      <c r="F57" s="27"/>
      <c r="G57" s="27"/>
      <c r="H57" s="28"/>
      <c r="I57" s="28"/>
      <c r="J57" s="27"/>
      <c r="K57" s="27"/>
      <c r="L57" s="27"/>
      <c r="M57" s="27"/>
      <c r="N57" s="27"/>
      <c r="O57" s="27"/>
      <c r="P57" s="27"/>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1:I446"/>
  <sheetViews>
    <sheetView zoomScale="150" zoomScaleNormal="150" zoomScalePageLayoutView="150" workbookViewId="0">
      <pane ySplit="1" topLeftCell="A2" activePane="bottomLeft" state="frozen"/>
      <selection activeCell="C1" sqref="C1"/>
      <selection pane="bottomLeft" activeCell="F40" sqref="F40"/>
    </sheetView>
  </sheetViews>
  <sheetFormatPr defaultColWidth="10.796875" defaultRowHeight="15.6"/>
  <cols>
    <col min="1" max="1" width="19.19921875" style="5" customWidth="1"/>
    <col min="2" max="2" width="25.796875" style="5" customWidth="1"/>
    <col min="3" max="3" width="19.19921875" style="5" customWidth="1"/>
    <col min="4" max="6" width="17.69921875" style="6" customWidth="1"/>
    <col min="7" max="7" width="14.5" style="6" customWidth="1"/>
    <col min="8" max="9" width="11.296875" style="5" bestFit="1" customWidth="1"/>
    <col min="10" max="16384" width="10.796875" style="5"/>
  </cols>
  <sheetData>
    <row r="1" spans="1:9">
      <c r="A1" s="62" t="s">
        <v>0</v>
      </c>
      <c r="B1" s="62" t="s">
        <v>1436</v>
      </c>
      <c r="C1" s="62" t="s">
        <v>1</v>
      </c>
      <c r="D1" s="57" t="s">
        <v>57</v>
      </c>
      <c r="E1" s="57" t="s">
        <v>1611</v>
      </c>
      <c r="F1" s="57" t="s">
        <v>1612</v>
      </c>
      <c r="G1" s="57" t="s">
        <v>58</v>
      </c>
    </row>
    <row r="2" spans="1:9">
      <c r="D2" s="6">
        <v>11068315170.755554</v>
      </c>
      <c r="E2" s="6">
        <f>SUM(E3:E446)</f>
        <v>11068315170.755554</v>
      </c>
      <c r="F2" s="6">
        <f>SUM(F3:F446)</f>
        <v>11180572406.852491</v>
      </c>
      <c r="G2" s="6">
        <v>11180572406.852488</v>
      </c>
    </row>
    <row r="3" spans="1:9">
      <c r="A3" s="5" t="s">
        <v>48</v>
      </c>
      <c r="B3" s="5" t="s">
        <v>49</v>
      </c>
      <c r="C3" s="5" t="s">
        <v>83</v>
      </c>
      <c r="D3" s="6">
        <v>2121001.7000000002</v>
      </c>
      <c r="G3" s="6">
        <v>2163421.7340000002</v>
      </c>
    </row>
    <row r="4" spans="1:9">
      <c r="A4" s="5" t="s">
        <v>48</v>
      </c>
      <c r="B4" s="5" t="s">
        <v>51</v>
      </c>
      <c r="C4" s="5" t="s">
        <v>52</v>
      </c>
      <c r="D4" s="6">
        <v>316050</v>
      </c>
      <c r="G4" s="6">
        <v>322371</v>
      </c>
    </row>
    <row r="5" spans="1:9">
      <c r="A5" s="5" t="s">
        <v>48</v>
      </c>
      <c r="B5" s="5" t="s">
        <v>54</v>
      </c>
      <c r="C5" s="5" t="s">
        <v>55</v>
      </c>
      <c r="D5" s="6">
        <v>259433</v>
      </c>
      <c r="G5" s="6">
        <v>259433</v>
      </c>
    </row>
    <row r="6" spans="1:9">
      <c r="A6" s="5" t="s">
        <v>48</v>
      </c>
      <c r="B6" s="5" t="s">
        <v>59</v>
      </c>
      <c r="C6" s="5" t="s">
        <v>60</v>
      </c>
      <c r="D6" s="6">
        <v>0</v>
      </c>
      <c r="G6" s="6">
        <v>0</v>
      </c>
    </row>
    <row r="7" spans="1:9">
      <c r="A7" s="5" t="s">
        <v>48</v>
      </c>
      <c r="B7" s="5" t="s">
        <v>62</v>
      </c>
      <c r="C7" s="5" t="s">
        <v>63</v>
      </c>
      <c r="D7" s="6">
        <v>0</v>
      </c>
      <c r="G7" s="6">
        <v>0</v>
      </c>
    </row>
    <row r="8" spans="1:9">
      <c r="A8" s="5" t="s">
        <v>48</v>
      </c>
      <c r="B8" s="5" t="s">
        <v>65</v>
      </c>
      <c r="C8" s="5" t="s">
        <v>66</v>
      </c>
      <c r="D8" s="6">
        <v>0</v>
      </c>
      <c r="G8" s="6">
        <v>0</v>
      </c>
    </row>
    <row r="9" spans="1:9">
      <c r="A9" s="5" t="s">
        <v>48</v>
      </c>
      <c r="B9" s="5" t="s">
        <v>68</v>
      </c>
      <c r="C9" s="5" t="s">
        <v>69</v>
      </c>
      <c r="D9" s="6">
        <v>0</v>
      </c>
      <c r="G9" s="6">
        <v>0</v>
      </c>
    </row>
    <row r="10" spans="1:9">
      <c r="A10" s="5" t="s">
        <v>48</v>
      </c>
      <c r="B10" s="5" t="s">
        <v>71</v>
      </c>
      <c r="C10" s="5" t="s">
        <v>72</v>
      </c>
      <c r="D10" s="6">
        <v>541404</v>
      </c>
      <c r="G10" s="6">
        <v>541404</v>
      </c>
    </row>
    <row r="11" spans="1:9">
      <c r="A11" s="5" t="s">
        <v>48</v>
      </c>
      <c r="B11" s="5" t="s">
        <v>73</v>
      </c>
      <c r="C11" s="5" t="s">
        <v>74</v>
      </c>
      <c r="D11" s="6">
        <v>3707772</v>
      </c>
      <c r="G11" s="6">
        <v>3781927.44</v>
      </c>
    </row>
    <row r="12" spans="1:9">
      <c r="A12" s="5" t="s">
        <v>48</v>
      </c>
      <c r="B12" s="5" t="s">
        <v>77</v>
      </c>
      <c r="C12" s="5" t="s">
        <v>78</v>
      </c>
      <c r="D12" s="6">
        <v>1331623</v>
      </c>
      <c r="E12" s="6">
        <f>SUM(D3:D12)</f>
        <v>8277283.7000000002</v>
      </c>
      <c r="F12" s="6">
        <f>SUM(G3:G12)</f>
        <v>8433237.1740000006</v>
      </c>
      <c r="G12" s="6">
        <v>1364680</v>
      </c>
      <c r="H12" s="6"/>
      <c r="I12" s="6"/>
    </row>
    <row r="13" spans="1:9">
      <c r="A13" s="5" t="s">
        <v>48</v>
      </c>
      <c r="B13" s="5" t="s">
        <v>80</v>
      </c>
      <c r="C13" s="5" t="s">
        <v>81</v>
      </c>
      <c r="D13" s="6">
        <v>502763</v>
      </c>
      <c r="E13" s="6">
        <f>D13</f>
        <v>502763</v>
      </c>
      <c r="F13" s="6">
        <f>G13</f>
        <v>512818.26</v>
      </c>
      <c r="G13" s="6">
        <v>512818.26</v>
      </c>
      <c r="H13" s="6"/>
      <c r="I13" s="6"/>
    </row>
    <row r="14" spans="1:9">
      <c r="A14" s="5" t="s">
        <v>48</v>
      </c>
      <c r="B14" s="5" t="s">
        <v>86</v>
      </c>
      <c r="C14" s="5" t="s">
        <v>84</v>
      </c>
      <c r="D14" s="6">
        <v>679105</v>
      </c>
      <c r="G14" s="6">
        <v>674389</v>
      </c>
    </row>
    <row r="15" spans="1:9">
      <c r="A15" s="5" t="s">
        <v>48</v>
      </c>
      <c r="B15" s="5" t="s">
        <v>87</v>
      </c>
      <c r="C15" s="5" t="s">
        <v>88</v>
      </c>
      <c r="D15" s="6">
        <v>26046442.960000001</v>
      </c>
      <c r="G15" s="6">
        <v>26567371.819200002</v>
      </c>
    </row>
    <row r="16" spans="1:9">
      <c r="A16" s="5" t="s">
        <v>48</v>
      </c>
      <c r="B16" s="5" t="s">
        <v>89</v>
      </c>
      <c r="C16" s="5" t="s">
        <v>90</v>
      </c>
      <c r="D16" s="6">
        <v>196093</v>
      </c>
      <c r="G16" s="6">
        <v>209193</v>
      </c>
    </row>
    <row r="17" spans="1:9">
      <c r="A17" s="5" t="s">
        <v>48</v>
      </c>
      <c r="B17" s="5" t="s">
        <v>91</v>
      </c>
      <c r="C17" s="5" t="s">
        <v>92</v>
      </c>
      <c r="D17" s="6">
        <v>3921407</v>
      </c>
      <c r="G17" s="6">
        <v>3788542</v>
      </c>
    </row>
    <row r="18" spans="1:9">
      <c r="A18" s="5" t="s">
        <v>48</v>
      </c>
      <c r="B18" s="5" t="s">
        <v>93</v>
      </c>
      <c r="C18" s="5" t="s">
        <v>101</v>
      </c>
      <c r="D18" s="6">
        <v>364125</v>
      </c>
      <c r="G18" s="6">
        <v>397956</v>
      </c>
    </row>
    <row r="19" spans="1:9">
      <c r="A19" s="5" t="s">
        <v>48</v>
      </c>
      <c r="B19" s="5" t="s">
        <v>94</v>
      </c>
      <c r="C19" s="5" t="s">
        <v>102</v>
      </c>
      <c r="D19" s="6">
        <v>3773923</v>
      </c>
      <c r="G19" s="6">
        <v>3768357</v>
      </c>
    </row>
    <row r="20" spans="1:9">
      <c r="A20" s="5" t="s">
        <v>48</v>
      </c>
      <c r="B20" s="5" t="s">
        <v>95</v>
      </c>
      <c r="C20" s="5" t="s">
        <v>103</v>
      </c>
      <c r="D20" s="6">
        <v>5021949.28</v>
      </c>
      <c r="G20" s="6">
        <v>5122388.2656000005</v>
      </c>
    </row>
    <row r="21" spans="1:9">
      <c r="A21" s="5" t="s">
        <v>48</v>
      </c>
      <c r="B21" s="5" t="s">
        <v>96</v>
      </c>
      <c r="C21" s="5" t="s">
        <v>104</v>
      </c>
      <c r="D21" s="6">
        <v>2133637</v>
      </c>
      <c r="G21" s="6">
        <v>2142394</v>
      </c>
    </row>
    <row r="22" spans="1:9">
      <c r="A22" s="5" t="s">
        <v>48</v>
      </c>
      <c r="B22" s="5" t="s">
        <v>97</v>
      </c>
      <c r="C22" s="5" t="s">
        <v>105</v>
      </c>
      <c r="D22" s="6">
        <v>397185</v>
      </c>
      <c r="G22" s="6">
        <v>397740</v>
      </c>
    </row>
    <row r="23" spans="1:9">
      <c r="A23" s="5" t="s">
        <v>48</v>
      </c>
      <c r="B23" s="5" t="s">
        <v>98</v>
      </c>
      <c r="C23" s="5" t="s">
        <v>106</v>
      </c>
      <c r="D23" s="6">
        <v>396131</v>
      </c>
      <c r="G23" s="6">
        <v>426326</v>
      </c>
    </row>
    <row r="24" spans="1:9">
      <c r="A24" s="5" t="s">
        <v>48</v>
      </c>
      <c r="B24" s="5" t="s">
        <v>99</v>
      </c>
      <c r="C24" s="5" t="s">
        <v>107</v>
      </c>
      <c r="D24" s="6">
        <v>7895514</v>
      </c>
      <c r="G24" s="6">
        <v>8279390</v>
      </c>
    </row>
    <row r="25" spans="1:9">
      <c r="A25" s="5" t="s">
        <v>48</v>
      </c>
      <c r="B25" s="5" t="s">
        <v>100</v>
      </c>
      <c r="C25" s="5" t="s">
        <v>108</v>
      </c>
      <c r="D25" s="6">
        <v>16176741</v>
      </c>
      <c r="E25" s="6">
        <f>SUM(D14:D25)</f>
        <v>67002253.240000002</v>
      </c>
      <c r="F25" s="6">
        <f>SUM(G14:G25)</f>
        <v>62364475.084800005</v>
      </c>
      <c r="G25" s="6">
        <v>10590428</v>
      </c>
      <c r="H25" s="6"/>
      <c r="I25" s="6"/>
    </row>
    <row r="26" spans="1:9">
      <c r="A26" s="5" t="s">
        <v>48</v>
      </c>
      <c r="B26" s="5" t="s">
        <v>120</v>
      </c>
      <c r="C26" s="5" t="s">
        <v>121</v>
      </c>
      <c r="D26" s="6">
        <v>11685992.26</v>
      </c>
      <c r="G26" s="6">
        <v>11919712.1052</v>
      </c>
    </row>
    <row r="27" spans="1:9">
      <c r="A27" s="5" t="s">
        <v>48</v>
      </c>
      <c r="B27" s="5" t="s">
        <v>123</v>
      </c>
      <c r="C27" s="5" t="s">
        <v>124</v>
      </c>
      <c r="D27" s="6">
        <v>1752301</v>
      </c>
      <c r="E27" s="6">
        <f>SUM(D26:D27)</f>
        <v>13438293.26</v>
      </c>
      <c r="F27" s="6">
        <f>SUM(G26:G27)</f>
        <v>12910069.1052</v>
      </c>
      <c r="G27" s="6">
        <v>990357</v>
      </c>
      <c r="H27" s="6"/>
      <c r="I27" s="6"/>
    </row>
    <row r="28" spans="1:9">
      <c r="A28" s="5" t="s">
        <v>48</v>
      </c>
      <c r="B28" s="5" t="s">
        <v>126</v>
      </c>
      <c r="C28" s="5" t="s">
        <v>127</v>
      </c>
      <c r="D28" s="6">
        <v>2626451</v>
      </c>
      <c r="G28" s="6">
        <v>2619743</v>
      </c>
    </row>
    <row r="29" spans="1:9">
      <c r="A29" s="5" t="s">
        <v>48</v>
      </c>
      <c r="B29" s="5" t="s">
        <v>130</v>
      </c>
      <c r="C29" s="5" t="s">
        <v>131</v>
      </c>
      <c r="D29" s="6">
        <v>254588192</v>
      </c>
      <c r="G29" s="6">
        <v>259832985</v>
      </c>
    </row>
    <row r="30" spans="1:9">
      <c r="A30" s="5" t="s">
        <v>48</v>
      </c>
      <c r="B30" s="5" t="s">
        <v>133</v>
      </c>
      <c r="C30" s="5" t="s">
        <v>134</v>
      </c>
      <c r="D30" s="6">
        <v>27604925</v>
      </c>
      <c r="G30" s="6">
        <v>26416150</v>
      </c>
    </row>
    <row r="31" spans="1:9">
      <c r="A31" s="5" t="s">
        <v>48</v>
      </c>
      <c r="B31" s="5" t="s">
        <v>136</v>
      </c>
      <c r="C31" s="5" t="s">
        <v>137</v>
      </c>
      <c r="D31" s="6">
        <v>27779013</v>
      </c>
      <c r="G31" s="6">
        <v>26589965</v>
      </c>
    </row>
    <row r="32" spans="1:9">
      <c r="A32" s="5" t="s">
        <v>48</v>
      </c>
      <c r="B32" s="5" t="s">
        <v>139</v>
      </c>
      <c r="C32" s="5" t="s">
        <v>140</v>
      </c>
      <c r="D32" s="6">
        <v>3176077</v>
      </c>
      <c r="G32" s="6">
        <v>1245203</v>
      </c>
    </row>
    <row r="33" spans="1:7">
      <c r="A33" s="5" t="s">
        <v>48</v>
      </c>
      <c r="B33" s="5" t="s">
        <v>142</v>
      </c>
      <c r="C33" s="5" t="s">
        <v>143</v>
      </c>
      <c r="D33" s="6">
        <v>10082257</v>
      </c>
      <c r="G33" s="6">
        <v>10762142</v>
      </c>
    </row>
    <row r="34" spans="1:7">
      <c r="A34" s="5" t="s">
        <v>48</v>
      </c>
      <c r="B34" s="5" t="s">
        <v>144</v>
      </c>
      <c r="C34" s="5" t="s">
        <v>145</v>
      </c>
      <c r="D34" s="6">
        <v>593136</v>
      </c>
      <c r="G34" s="6">
        <v>602152</v>
      </c>
    </row>
    <row r="35" spans="1:7">
      <c r="A35" s="5" t="s">
        <v>48</v>
      </c>
      <c r="B35" s="5" t="s">
        <v>148</v>
      </c>
      <c r="C35" s="5" t="s">
        <v>149</v>
      </c>
      <c r="D35" s="6">
        <v>354923</v>
      </c>
      <c r="G35" s="6">
        <v>357194</v>
      </c>
    </row>
    <row r="36" spans="1:7">
      <c r="A36" s="5" t="s">
        <v>48</v>
      </c>
      <c r="B36" s="5" t="s">
        <v>151</v>
      </c>
      <c r="C36" s="5" t="s">
        <v>152</v>
      </c>
      <c r="D36" s="6">
        <v>2060062</v>
      </c>
      <c r="E36" s="6">
        <f>SUM(D28:D36)</f>
        <v>328865036</v>
      </c>
      <c r="F36" s="6">
        <f>SUM(G28:G36)</f>
        <v>330490816</v>
      </c>
      <c r="G36" s="6">
        <v>2065282</v>
      </c>
    </row>
    <row r="37" spans="1:7">
      <c r="A37" s="5" t="s">
        <v>48</v>
      </c>
      <c r="B37" s="5" t="s">
        <v>154</v>
      </c>
      <c r="C37" s="5" t="s">
        <v>155</v>
      </c>
      <c r="D37" s="6">
        <v>4313985.88</v>
      </c>
      <c r="G37" s="6">
        <v>4400265.5976</v>
      </c>
    </row>
    <row r="38" spans="1:7">
      <c r="A38" s="5" t="s">
        <v>48</v>
      </c>
      <c r="B38" s="5" t="s">
        <v>157</v>
      </c>
      <c r="C38" s="5" t="s">
        <v>158</v>
      </c>
      <c r="D38" s="6">
        <v>1428532</v>
      </c>
      <c r="G38" s="6">
        <v>1691440</v>
      </c>
    </row>
    <row r="39" spans="1:7">
      <c r="A39" s="5" t="s">
        <v>1530</v>
      </c>
      <c r="B39" s="5" t="s">
        <v>1528</v>
      </c>
      <c r="D39" s="6">
        <v>10000000</v>
      </c>
      <c r="E39" s="6">
        <f>SUM(D37:D39)</f>
        <v>15742517.879999999</v>
      </c>
      <c r="F39" s="6">
        <f>SUM(G37:G39)</f>
        <v>16091705.5976</v>
      </c>
      <c r="G39" s="6">
        <v>10000000</v>
      </c>
    </row>
    <row r="40" spans="1:7">
      <c r="A40" s="5" t="s">
        <v>48</v>
      </c>
      <c r="B40" s="5" t="s">
        <v>13</v>
      </c>
      <c r="C40" s="5" t="s">
        <v>160</v>
      </c>
      <c r="D40" s="6">
        <v>841725</v>
      </c>
      <c r="E40" s="6">
        <f>D40</f>
        <v>841725</v>
      </c>
      <c r="F40" s="6">
        <f>G40</f>
        <v>826512</v>
      </c>
      <c r="G40" s="6">
        <v>826512</v>
      </c>
    </row>
    <row r="41" spans="1:7">
      <c r="A41" s="5" t="s">
        <v>164</v>
      </c>
      <c r="B41" s="5" t="s">
        <v>162</v>
      </c>
      <c r="C41" s="5" t="s">
        <v>163</v>
      </c>
      <c r="D41" s="6">
        <v>30128476.460000001</v>
      </c>
      <c r="G41" s="6">
        <v>30731045.9892</v>
      </c>
    </row>
    <row r="42" spans="1:7">
      <c r="A42" s="5" t="s">
        <v>164</v>
      </c>
      <c r="B42" s="5" t="s">
        <v>166</v>
      </c>
      <c r="C42" s="5" t="s">
        <v>167</v>
      </c>
      <c r="D42" s="6">
        <v>643494</v>
      </c>
      <c r="G42" s="6">
        <v>641368</v>
      </c>
    </row>
    <row r="43" spans="1:7">
      <c r="A43" s="5" t="s">
        <v>164</v>
      </c>
      <c r="B43" s="5" t="s">
        <v>169</v>
      </c>
      <c r="C43" s="5" t="s">
        <v>170</v>
      </c>
      <c r="D43" s="6">
        <v>2347400</v>
      </c>
      <c r="E43" s="6">
        <f>SUM(D41:D43)</f>
        <v>33119370.460000001</v>
      </c>
      <c r="F43" s="6">
        <f>SUM(G41:G43)</f>
        <v>34341813.989199996</v>
      </c>
      <c r="G43" s="6">
        <v>2969400</v>
      </c>
    </row>
    <row r="44" spans="1:7">
      <c r="A44" s="5" t="s">
        <v>212</v>
      </c>
      <c r="B44" s="5" t="s">
        <v>44</v>
      </c>
      <c r="C44" s="5" t="s">
        <v>172</v>
      </c>
      <c r="D44" s="6">
        <v>10926001</v>
      </c>
      <c r="G44" s="6">
        <v>10884787</v>
      </c>
    </row>
    <row r="45" spans="1:7">
      <c r="A45" s="5" t="s">
        <v>212</v>
      </c>
      <c r="B45" s="5" t="s">
        <v>174</v>
      </c>
      <c r="C45" s="5" t="s">
        <v>175</v>
      </c>
      <c r="D45" s="6">
        <v>2122645</v>
      </c>
      <c r="G45" s="6">
        <v>2117723</v>
      </c>
    </row>
    <row r="46" spans="1:7">
      <c r="A46" s="5" t="s">
        <v>212</v>
      </c>
      <c r="B46" s="5" t="s">
        <v>177</v>
      </c>
      <c r="C46" s="5" t="s">
        <v>178</v>
      </c>
      <c r="D46" s="6">
        <v>21441140</v>
      </c>
      <c r="G46" s="6">
        <v>21716634</v>
      </c>
    </row>
    <row r="47" spans="1:7">
      <c r="A47" s="5" t="s">
        <v>212</v>
      </c>
      <c r="B47" s="5" t="s">
        <v>180</v>
      </c>
      <c r="C47" s="5" t="s">
        <v>181</v>
      </c>
      <c r="D47" s="6">
        <v>15349</v>
      </c>
      <c r="G47" s="6">
        <v>15349</v>
      </c>
    </row>
    <row r="48" spans="1:7">
      <c r="A48" s="5" t="s">
        <v>212</v>
      </c>
      <c r="B48" s="5" t="s">
        <v>183</v>
      </c>
      <c r="C48" s="5" t="s">
        <v>184</v>
      </c>
      <c r="D48" s="6">
        <v>1492650</v>
      </c>
      <c r="G48" s="6">
        <v>1492641</v>
      </c>
    </row>
    <row r="49" spans="1:7">
      <c r="A49" s="5" t="s">
        <v>212</v>
      </c>
      <c r="B49" s="5" t="s">
        <v>185</v>
      </c>
      <c r="C49" s="5" t="s">
        <v>186</v>
      </c>
      <c r="D49" s="6">
        <v>1747475</v>
      </c>
      <c r="G49" s="6">
        <v>1782424.5</v>
      </c>
    </row>
    <row r="50" spans="1:7">
      <c r="A50" s="5" t="s">
        <v>212</v>
      </c>
      <c r="B50" s="5" t="s">
        <v>189</v>
      </c>
      <c r="C50" s="5" t="s">
        <v>190</v>
      </c>
      <c r="D50" s="6">
        <v>5198294</v>
      </c>
      <c r="G50" s="6">
        <v>4747413</v>
      </c>
    </row>
    <row r="51" spans="1:7">
      <c r="A51" s="5" t="s">
        <v>212</v>
      </c>
      <c r="B51" s="5" t="s">
        <v>192</v>
      </c>
      <c r="C51" s="5" t="s">
        <v>193</v>
      </c>
      <c r="D51" s="6">
        <v>1129214</v>
      </c>
      <c r="G51" s="6">
        <v>1153134</v>
      </c>
    </row>
    <row r="52" spans="1:7">
      <c r="A52" s="5" t="s">
        <v>212</v>
      </c>
      <c r="B52" s="5" t="s">
        <v>195</v>
      </c>
      <c r="C52" s="5" t="s">
        <v>196</v>
      </c>
      <c r="D52" s="6">
        <v>2621639</v>
      </c>
      <c r="G52" s="6">
        <v>1939278</v>
      </c>
    </row>
    <row r="53" spans="1:7">
      <c r="A53" s="5" t="s">
        <v>212</v>
      </c>
      <c r="B53" s="5" t="s">
        <v>198</v>
      </c>
      <c r="C53" s="5" t="s">
        <v>199</v>
      </c>
      <c r="D53" s="6">
        <v>1397582</v>
      </c>
      <c r="G53" s="6">
        <v>1159426</v>
      </c>
    </row>
    <row r="54" spans="1:7">
      <c r="A54" s="5" t="s">
        <v>212</v>
      </c>
      <c r="B54" s="5" t="s">
        <v>202</v>
      </c>
      <c r="C54" s="5" t="s">
        <v>201</v>
      </c>
      <c r="D54" s="6">
        <v>9516656</v>
      </c>
      <c r="G54" s="6">
        <v>10239573</v>
      </c>
    </row>
    <row r="55" spans="1:7">
      <c r="A55" s="5" t="s">
        <v>212</v>
      </c>
      <c r="B55" s="5" t="s">
        <v>204</v>
      </c>
      <c r="C55" s="5" t="s">
        <v>205</v>
      </c>
      <c r="D55" s="6">
        <v>465714</v>
      </c>
      <c r="G55" s="6">
        <v>627694</v>
      </c>
    </row>
    <row r="56" spans="1:7">
      <c r="A56" s="5" t="s">
        <v>212</v>
      </c>
      <c r="B56" s="5" t="s">
        <v>208</v>
      </c>
      <c r="C56" s="5" t="s">
        <v>207</v>
      </c>
      <c r="D56" s="6">
        <v>1815862</v>
      </c>
      <c r="G56" s="6">
        <v>1971801</v>
      </c>
    </row>
    <row r="57" spans="1:7">
      <c r="A57" s="5" t="s">
        <v>212</v>
      </c>
      <c r="B57" s="5" t="s">
        <v>211</v>
      </c>
      <c r="C57" s="5" t="s">
        <v>210</v>
      </c>
      <c r="D57" s="6">
        <v>0</v>
      </c>
      <c r="E57" s="6">
        <f>SUM(D44:D57)</f>
        <v>59890221</v>
      </c>
      <c r="F57" s="6">
        <f>SUM(G44:G57)</f>
        <v>59847877.5</v>
      </c>
      <c r="G57" s="6">
        <v>0</v>
      </c>
    </row>
    <row r="58" spans="1:7">
      <c r="A58" s="5" t="s">
        <v>212</v>
      </c>
      <c r="B58" s="5" t="s">
        <v>214</v>
      </c>
      <c r="C58" s="5" t="s">
        <v>215</v>
      </c>
      <c r="D58" s="6">
        <v>725238.22000000009</v>
      </c>
      <c r="E58" s="6">
        <f>D58</f>
        <v>725238.22000000009</v>
      </c>
      <c r="F58" s="6">
        <f>G58</f>
        <v>739742.98440000007</v>
      </c>
      <c r="G58" s="6">
        <v>739742.98440000007</v>
      </c>
    </row>
    <row r="59" spans="1:7">
      <c r="A59" s="5" t="s">
        <v>1437</v>
      </c>
      <c r="B59" s="5" t="s">
        <v>284</v>
      </c>
      <c r="C59" s="5" t="s">
        <v>217</v>
      </c>
      <c r="D59" s="6">
        <v>692335</v>
      </c>
      <c r="G59" s="6">
        <v>661375</v>
      </c>
    </row>
    <row r="60" spans="1:7">
      <c r="A60" s="5" t="s">
        <v>1437</v>
      </c>
      <c r="B60" s="5" t="s">
        <v>285</v>
      </c>
      <c r="C60" s="5" t="s">
        <v>219</v>
      </c>
      <c r="D60" s="6">
        <v>200001</v>
      </c>
      <c r="G60" s="6">
        <v>200001</v>
      </c>
    </row>
    <row r="61" spans="1:7">
      <c r="A61" s="5" t="s">
        <v>1437</v>
      </c>
      <c r="B61" s="5" t="s">
        <v>286</v>
      </c>
      <c r="C61" s="5" t="s">
        <v>221</v>
      </c>
      <c r="D61" s="6">
        <v>130430</v>
      </c>
      <c r="G61" s="6">
        <v>130430</v>
      </c>
    </row>
    <row r="62" spans="1:7">
      <c r="A62" s="5" t="s">
        <v>1437</v>
      </c>
      <c r="B62" s="5" t="s">
        <v>287</v>
      </c>
      <c r="C62" s="5" t="s">
        <v>223</v>
      </c>
      <c r="D62" s="6">
        <v>1100</v>
      </c>
      <c r="G62" s="6">
        <v>1100</v>
      </c>
    </row>
    <row r="63" spans="1:7">
      <c r="A63" s="5" t="s">
        <v>1437</v>
      </c>
      <c r="B63" s="5" t="s">
        <v>288</v>
      </c>
      <c r="C63" s="5" t="s">
        <v>225</v>
      </c>
      <c r="D63" s="6">
        <v>8863643.6799999997</v>
      </c>
      <c r="G63" s="6">
        <v>9040916.5536000002</v>
      </c>
    </row>
    <row r="64" spans="1:7">
      <c r="A64" s="5" t="s">
        <v>1437</v>
      </c>
      <c r="B64" s="5" t="s">
        <v>289</v>
      </c>
      <c r="C64" s="5" t="s">
        <v>227</v>
      </c>
      <c r="D64" s="6">
        <v>3515858</v>
      </c>
      <c r="G64" s="6">
        <v>2578910</v>
      </c>
    </row>
    <row r="65" spans="1:7">
      <c r="A65" s="5" t="s">
        <v>1437</v>
      </c>
      <c r="B65" s="5" t="s">
        <v>290</v>
      </c>
      <c r="C65" s="5" t="s">
        <v>229</v>
      </c>
      <c r="D65" s="6">
        <v>2031001</v>
      </c>
      <c r="G65" s="6">
        <v>1783513</v>
      </c>
    </row>
    <row r="66" spans="1:7">
      <c r="A66" s="5" t="s">
        <v>1437</v>
      </c>
      <c r="B66" s="5" t="s">
        <v>291</v>
      </c>
      <c r="C66" s="5" t="s">
        <v>231</v>
      </c>
      <c r="D66" s="6">
        <v>10166429</v>
      </c>
      <c r="G66" s="6">
        <v>9916608</v>
      </c>
    </row>
    <row r="67" spans="1:7">
      <c r="A67" s="5" t="s">
        <v>1437</v>
      </c>
      <c r="B67" s="5" t="s">
        <v>292</v>
      </c>
      <c r="C67" s="5" t="s">
        <v>233</v>
      </c>
      <c r="D67" s="6">
        <v>16231047</v>
      </c>
      <c r="G67" s="6">
        <v>16012657</v>
      </c>
    </row>
    <row r="68" spans="1:7">
      <c r="A68" s="5" t="s">
        <v>1437</v>
      </c>
      <c r="B68" s="5" t="s">
        <v>293</v>
      </c>
      <c r="C68" s="5" t="s">
        <v>235</v>
      </c>
      <c r="D68" s="6">
        <v>6169570</v>
      </c>
      <c r="G68" s="6">
        <v>5564443</v>
      </c>
    </row>
    <row r="69" spans="1:7">
      <c r="A69" s="5" t="s">
        <v>1437</v>
      </c>
      <c r="B69" s="5" t="s">
        <v>294</v>
      </c>
      <c r="C69" s="5" t="s">
        <v>237</v>
      </c>
      <c r="D69" s="6">
        <v>4079008</v>
      </c>
      <c r="G69" s="6">
        <v>4030486</v>
      </c>
    </row>
    <row r="70" spans="1:7">
      <c r="A70" s="5" t="s">
        <v>1437</v>
      </c>
      <c r="B70" s="5" t="s">
        <v>295</v>
      </c>
      <c r="C70" s="5" t="s">
        <v>239</v>
      </c>
      <c r="D70" s="6">
        <v>3959361</v>
      </c>
      <c r="G70" s="6">
        <v>3750107</v>
      </c>
    </row>
    <row r="71" spans="1:7">
      <c r="A71" s="5" t="s">
        <v>1437</v>
      </c>
      <c r="B71" s="5" t="s">
        <v>296</v>
      </c>
      <c r="C71" s="5" t="s">
        <v>241</v>
      </c>
      <c r="D71" s="6">
        <v>2256368</v>
      </c>
      <c r="G71" s="6">
        <v>2279355</v>
      </c>
    </row>
    <row r="72" spans="1:7">
      <c r="A72" s="5" t="s">
        <v>1437</v>
      </c>
      <c r="B72" s="5" t="s">
        <v>297</v>
      </c>
      <c r="C72" s="5" t="s">
        <v>243</v>
      </c>
      <c r="D72" s="6">
        <v>0</v>
      </c>
      <c r="G72" s="6">
        <v>0</v>
      </c>
    </row>
    <row r="73" spans="1:7">
      <c r="A73" s="5" t="s">
        <v>1437</v>
      </c>
      <c r="B73" s="5" t="s">
        <v>298</v>
      </c>
      <c r="C73" s="5" t="s">
        <v>245</v>
      </c>
      <c r="D73" s="6">
        <v>2973972.04</v>
      </c>
      <c r="G73" s="6">
        <v>3012280</v>
      </c>
    </row>
    <row r="74" spans="1:7">
      <c r="A74" s="5" t="s">
        <v>1437</v>
      </c>
      <c r="B74" s="5" t="s">
        <v>299</v>
      </c>
      <c r="C74" s="5" t="s">
        <v>247</v>
      </c>
      <c r="D74" s="6">
        <v>378768</v>
      </c>
      <c r="G74" s="6">
        <v>391173</v>
      </c>
    </row>
    <row r="75" spans="1:7">
      <c r="A75" s="5" t="s">
        <v>1437</v>
      </c>
      <c r="B75" s="5" t="s">
        <v>300</v>
      </c>
      <c r="C75" s="5" t="s">
        <v>249</v>
      </c>
      <c r="D75" s="6">
        <v>1020579</v>
      </c>
      <c r="G75" s="6">
        <v>1037896</v>
      </c>
    </row>
    <row r="76" spans="1:7">
      <c r="A76" s="5" t="s">
        <v>1437</v>
      </c>
      <c r="B76" s="5" t="s">
        <v>301</v>
      </c>
      <c r="C76" s="5" t="s">
        <v>251</v>
      </c>
      <c r="D76" s="6">
        <v>4244451</v>
      </c>
      <c r="G76" s="6">
        <v>4320616</v>
      </c>
    </row>
    <row r="77" spans="1:7">
      <c r="A77" s="5" t="s">
        <v>1437</v>
      </c>
      <c r="B77" s="5" t="s">
        <v>302</v>
      </c>
      <c r="C77" s="5" t="s">
        <v>253</v>
      </c>
      <c r="D77" s="6">
        <v>255333.86000000002</v>
      </c>
      <c r="G77" s="6">
        <v>260440.53720000002</v>
      </c>
    </row>
    <row r="78" spans="1:7">
      <c r="A78" s="5" t="s">
        <v>1437</v>
      </c>
      <c r="B78" s="5" t="s">
        <v>303</v>
      </c>
      <c r="C78" s="5" t="s">
        <v>255</v>
      </c>
      <c r="D78" s="6">
        <v>18490386</v>
      </c>
      <c r="G78" s="6">
        <v>18168582</v>
      </c>
    </row>
    <row r="79" spans="1:7">
      <c r="A79" s="5" t="s">
        <v>1437</v>
      </c>
      <c r="B79" s="5" t="s">
        <v>304</v>
      </c>
      <c r="C79" s="5" t="s">
        <v>257</v>
      </c>
      <c r="D79" s="6">
        <v>1506591</v>
      </c>
      <c r="G79" s="6">
        <v>1447024</v>
      </c>
    </row>
    <row r="80" spans="1:7">
      <c r="A80" s="5" t="s">
        <v>1437</v>
      </c>
      <c r="B80" s="5" t="s">
        <v>305</v>
      </c>
      <c r="C80" s="5" t="s">
        <v>259</v>
      </c>
      <c r="D80" s="6">
        <v>2799231.04</v>
      </c>
      <c r="G80" s="6">
        <v>2855215.6608000002</v>
      </c>
    </row>
    <row r="81" spans="1:7">
      <c r="A81" s="5" t="s">
        <v>1437</v>
      </c>
      <c r="B81" s="5" t="s">
        <v>306</v>
      </c>
      <c r="C81" s="5" t="s">
        <v>261</v>
      </c>
      <c r="D81" s="6">
        <v>26547892</v>
      </c>
      <c r="G81" s="6">
        <v>26657928</v>
      </c>
    </row>
    <row r="82" spans="1:7">
      <c r="A82" s="5" t="s">
        <v>1437</v>
      </c>
      <c r="B82" s="5" t="s">
        <v>307</v>
      </c>
      <c r="C82" s="5" t="s">
        <v>263</v>
      </c>
      <c r="D82" s="6">
        <v>6419505</v>
      </c>
      <c r="G82" s="6">
        <v>6182524</v>
      </c>
    </row>
    <row r="83" spans="1:7">
      <c r="A83" s="5" t="s">
        <v>1437</v>
      </c>
      <c r="B83" s="5" t="s">
        <v>308</v>
      </c>
      <c r="C83" s="5" t="s">
        <v>265</v>
      </c>
      <c r="D83" s="6">
        <v>3568334</v>
      </c>
      <c r="G83" s="6">
        <v>2456531</v>
      </c>
    </row>
    <row r="84" spans="1:7">
      <c r="A84" s="5" t="s">
        <v>1437</v>
      </c>
      <c r="B84" s="5" t="s">
        <v>309</v>
      </c>
      <c r="C84" s="5" t="s">
        <v>267</v>
      </c>
      <c r="D84" s="6">
        <v>4557579</v>
      </c>
      <c r="G84" s="6">
        <v>4570812</v>
      </c>
    </row>
    <row r="85" spans="1:7">
      <c r="A85" s="5" t="s">
        <v>1437</v>
      </c>
      <c r="B85" s="5" t="s">
        <v>310</v>
      </c>
      <c r="C85" s="5" t="s">
        <v>269</v>
      </c>
      <c r="D85" s="6">
        <v>827544.12</v>
      </c>
      <c r="G85" s="6">
        <v>796316.04</v>
      </c>
    </row>
    <row r="86" spans="1:7">
      <c r="A86" s="5" t="s">
        <v>1437</v>
      </c>
      <c r="B86" s="5" t="s">
        <v>311</v>
      </c>
      <c r="C86" s="5" t="s">
        <v>272</v>
      </c>
      <c r="D86" s="6">
        <v>255235.28</v>
      </c>
      <c r="G86" s="6">
        <v>260339.98560000001</v>
      </c>
    </row>
    <row r="87" spans="1:7">
      <c r="A87" s="5" t="s">
        <v>1437</v>
      </c>
      <c r="B87" s="5" t="s">
        <v>312</v>
      </c>
      <c r="C87" s="5" t="s">
        <v>273</v>
      </c>
      <c r="D87" s="6">
        <v>7344321</v>
      </c>
      <c r="G87" s="6">
        <v>7267049</v>
      </c>
    </row>
    <row r="88" spans="1:7">
      <c r="A88" s="5" t="s">
        <v>1437</v>
      </c>
      <c r="B88" s="5" t="s">
        <v>313</v>
      </c>
      <c r="C88" s="5" t="s">
        <v>275</v>
      </c>
      <c r="D88" s="6">
        <v>221604</v>
      </c>
      <c r="G88" s="6">
        <v>149433</v>
      </c>
    </row>
    <row r="89" spans="1:7">
      <c r="A89" s="5" t="s">
        <v>1437</v>
      </c>
      <c r="B89" s="5" t="s">
        <v>314</v>
      </c>
      <c r="C89" s="5" t="s">
        <v>277</v>
      </c>
      <c r="D89" s="6">
        <v>36243</v>
      </c>
      <c r="G89" s="6">
        <v>41243</v>
      </c>
    </row>
    <row r="90" spans="1:7">
      <c r="A90" s="5" t="s">
        <v>1437</v>
      </c>
      <c r="B90" s="5" t="s">
        <v>315</v>
      </c>
      <c r="C90" s="5" t="s">
        <v>279</v>
      </c>
      <c r="D90" s="6">
        <v>12474875</v>
      </c>
      <c r="G90" s="6">
        <v>12523021</v>
      </c>
    </row>
    <row r="91" spans="1:7">
      <c r="A91" s="5" t="s">
        <v>1437</v>
      </c>
      <c r="B91" s="5" t="s">
        <v>316</v>
      </c>
      <c r="C91" s="5" t="s">
        <v>282</v>
      </c>
      <c r="D91" s="6">
        <v>4808226</v>
      </c>
      <c r="G91" s="6">
        <v>4725397</v>
      </c>
    </row>
    <row r="92" spans="1:7">
      <c r="A92" s="5" t="s">
        <v>1437</v>
      </c>
      <c r="B92" s="5" t="s">
        <v>283</v>
      </c>
      <c r="C92" s="5" t="s">
        <v>317</v>
      </c>
      <c r="D92" s="6">
        <v>0</v>
      </c>
      <c r="E92" s="6">
        <f>SUM(D59:D92)</f>
        <v>157026822.02000001</v>
      </c>
      <c r="F92" s="6">
        <f>SUM(G59:G92)</f>
        <v>153073722.77719998</v>
      </c>
      <c r="G92" s="6">
        <v>0</v>
      </c>
    </row>
    <row r="93" spans="1:7">
      <c r="A93" s="5" t="s">
        <v>319</v>
      </c>
      <c r="B93" s="5" t="s">
        <v>319</v>
      </c>
      <c r="C93" s="5" t="s">
        <v>320</v>
      </c>
      <c r="D93" s="6">
        <v>27977552.02</v>
      </c>
      <c r="E93" s="6">
        <f>D93</f>
        <v>27977552.02</v>
      </c>
      <c r="F93" s="6">
        <f>G93</f>
        <v>28537103.060400002</v>
      </c>
      <c r="G93" s="6">
        <v>28537103.060400002</v>
      </c>
    </row>
    <row r="94" spans="1:7">
      <c r="A94" s="5" t="s">
        <v>1435</v>
      </c>
      <c r="B94" s="5" t="s">
        <v>322</v>
      </c>
      <c r="C94" s="5" t="s">
        <v>323</v>
      </c>
      <c r="D94" s="6">
        <v>1187519014</v>
      </c>
      <c r="G94" s="6">
        <v>1140045518</v>
      </c>
    </row>
    <row r="95" spans="1:7">
      <c r="A95" s="5" t="s">
        <v>1435</v>
      </c>
      <c r="B95" s="5" t="s">
        <v>322</v>
      </c>
      <c r="C95" s="5" t="s">
        <v>323</v>
      </c>
      <c r="D95" s="6">
        <v>182900000</v>
      </c>
      <c r="G95" s="6">
        <v>206300000</v>
      </c>
    </row>
    <row r="96" spans="1:7">
      <c r="A96" s="5" t="s">
        <v>1435</v>
      </c>
      <c r="B96" s="5" t="s">
        <v>325</v>
      </c>
      <c r="C96" s="5" t="s">
        <v>326</v>
      </c>
      <c r="D96" s="6">
        <v>36612904</v>
      </c>
      <c r="G96" s="6">
        <v>36612904</v>
      </c>
    </row>
    <row r="97" spans="1:7">
      <c r="A97" s="5" t="s">
        <v>1435</v>
      </c>
      <c r="B97" s="5" t="s">
        <v>328</v>
      </c>
      <c r="C97" s="5" t="s">
        <v>329</v>
      </c>
      <c r="D97" s="6">
        <v>0</v>
      </c>
      <c r="G97" s="6">
        <v>0</v>
      </c>
    </row>
    <row r="98" spans="1:7">
      <c r="A98" s="5" t="s">
        <v>1435</v>
      </c>
      <c r="B98" s="5" t="s">
        <v>331</v>
      </c>
      <c r="C98" s="5" t="s">
        <v>332</v>
      </c>
      <c r="D98" s="6">
        <v>151857000</v>
      </c>
      <c r="G98" s="6">
        <v>156293000</v>
      </c>
    </row>
    <row r="99" spans="1:7">
      <c r="A99" s="5" t="s">
        <v>1435</v>
      </c>
      <c r="B99" s="5" t="s">
        <v>334</v>
      </c>
      <c r="C99" s="5" t="s">
        <v>335</v>
      </c>
      <c r="D99" s="6">
        <v>0</v>
      </c>
      <c r="G99" s="6">
        <v>0</v>
      </c>
    </row>
    <row r="100" spans="1:7">
      <c r="A100" s="5" t="s">
        <v>1435</v>
      </c>
      <c r="B100" s="5" t="s">
        <v>337</v>
      </c>
      <c r="C100" s="5" t="s">
        <v>338</v>
      </c>
      <c r="D100" s="6">
        <v>469852</v>
      </c>
      <c r="G100" s="6">
        <v>372604</v>
      </c>
    </row>
    <row r="101" spans="1:7">
      <c r="A101" s="5" t="s">
        <v>1435</v>
      </c>
      <c r="B101" s="5" t="s">
        <v>340</v>
      </c>
      <c r="C101" s="5" t="s">
        <v>341</v>
      </c>
      <c r="D101" s="6">
        <v>1433089</v>
      </c>
      <c r="G101" s="6">
        <v>1336088</v>
      </c>
    </row>
    <row r="102" spans="1:7">
      <c r="A102" s="5" t="s">
        <v>1435</v>
      </c>
      <c r="B102" s="5" t="s">
        <v>343</v>
      </c>
      <c r="C102" s="5" t="s">
        <v>344</v>
      </c>
      <c r="D102" s="6">
        <v>1203306</v>
      </c>
      <c r="G102" s="6">
        <v>1248944</v>
      </c>
    </row>
    <row r="103" spans="1:7">
      <c r="A103" s="5" t="s">
        <v>1435</v>
      </c>
      <c r="B103" s="5" t="s">
        <v>346</v>
      </c>
      <c r="C103" s="5" t="s">
        <v>347</v>
      </c>
      <c r="D103" s="6">
        <v>1174990</v>
      </c>
      <c r="G103" s="6">
        <v>1202482</v>
      </c>
    </row>
    <row r="104" spans="1:7">
      <c r="A104" s="5" t="s">
        <v>1435</v>
      </c>
      <c r="B104" s="5" t="s">
        <v>349</v>
      </c>
      <c r="C104" s="5" t="s">
        <v>350</v>
      </c>
      <c r="D104" s="6">
        <v>0</v>
      </c>
      <c r="G104" s="6">
        <v>0</v>
      </c>
    </row>
    <row r="105" spans="1:7">
      <c r="A105" s="5" t="s">
        <v>1435</v>
      </c>
      <c r="B105" s="5" t="s">
        <v>352</v>
      </c>
      <c r="C105" s="5" t="s">
        <v>353</v>
      </c>
      <c r="D105" s="6">
        <v>4887592</v>
      </c>
      <c r="G105" s="6">
        <v>5004534</v>
      </c>
    </row>
    <row r="106" spans="1:7">
      <c r="A106" s="5" t="s">
        <v>1435</v>
      </c>
      <c r="B106" s="5" t="s">
        <v>355</v>
      </c>
      <c r="C106" s="5" t="s">
        <v>356</v>
      </c>
      <c r="D106" s="6">
        <v>17402866</v>
      </c>
      <c r="G106" s="6">
        <v>17314381</v>
      </c>
    </row>
    <row r="107" spans="1:7">
      <c r="A107" s="5" t="s">
        <v>1435</v>
      </c>
      <c r="B107" s="5" t="s">
        <v>358</v>
      </c>
      <c r="C107" s="5" t="s">
        <v>359</v>
      </c>
      <c r="D107" s="6">
        <v>2797449</v>
      </c>
      <c r="G107" s="6">
        <v>2759185</v>
      </c>
    </row>
    <row r="108" spans="1:7">
      <c r="A108" s="5" t="s">
        <v>1435</v>
      </c>
      <c r="B108" s="5" t="s">
        <v>361</v>
      </c>
      <c r="C108" s="5" t="s">
        <v>362</v>
      </c>
      <c r="D108" s="6">
        <v>10846647</v>
      </c>
      <c r="G108" s="6">
        <v>10818072</v>
      </c>
    </row>
    <row r="109" spans="1:7">
      <c r="A109" s="5" t="s">
        <v>1435</v>
      </c>
      <c r="B109" s="5" t="s">
        <v>364</v>
      </c>
      <c r="C109" s="5" t="s">
        <v>365</v>
      </c>
      <c r="D109" s="6">
        <v>0</v>
      </c>
      <c r="G109" s="6">
        <v>0</v>
      </c>
    </row>
    <row r="110" spans="1:7">
      <c r="A110" s="5" t="s">
        <v>1435</v>
      </c>
      <c r="B110" s="5" t="s">
        <v>367</v>
      </c>
      <c r="C110" s="5" t="s">
        <v>368</v>
      </c>
      <c r="D110" s="6">
        <v>5999927</v>
      </c>
      <c r="G110" s="6">
        <v>6000695</v>
      </c>
    </row>
    <row r="111" spans="1:7">
      <c r="A111" s="5" t="s">
        <v>1435</v>
      </c>
      <c r="B111" s="5" t="s">
        <v>370</v>
      </c>
      <c r="C111" s="5" t="s">
        <v>371</v>
      </c>
      <c r="D111" s="6">
        <v>0</v>
      </c>
      <c r="G111" s="6">
        <v>0</v>
      </c>
    </row>
    <row r="112" spans="1:7">
      <c r="A112" s="5" t="s">
        <v>1435</v>
      </c>
      <c r="B112" s="5" t="s">
        <v>373</v>
      </c>
      <c r="C112" s="5" t="s">
        <v>374</v>
      </c>
      <c r="D112" s="6">
        <v>4139910</v>
      </c>
      <c r="G112" s="6">
        <v>4158774</v>
      </c>
    </row>
    <row r="113" spans="1:7">
      <c r="A113" s="5" t="s">
        <v>1435</v>
      </c>
      <c r="B113" s="5" t="s">
        <v>376</v>
      </c>
      <c r="C113" s="5" t="s">
        <v>377</v>
      </c>
      <c r="D113" s="6">
        <v>140159537</v>
      </c>
      <c r="G113" s="6">
        <v>140219222</v>
      </c>
    </row>
    <row r="114" spans="1:7">
      <c r="A114" s="5" t="s">
        <v>1435</v>
      </c>
      <c r="B114" s="5" t="s">
        <v>379</v>
      </c>
      <c r="C114" s="5" t="s">
        <v>380</v>
      </c>
      <c r="D114" s="6">
        <v>14534000</v>
      </c>
      <c r="G114" s="6">
        <v>3814108</v>
      </c>
    </row>
    <row r="115" spans="1:7">
      <c r="A115" s="5" t="s">
        <v>1435</v>
      </c>
      <c r="B115" s="5" t="s">
        <v>382</v>
      </c>
      <c r="C115" s="5" t="s">
        <v>383</v>
      </c>
      <c r="D115" s="6">
        <v>8814636</v>
      </c>
      <c r="G115" s="6">
        <v>8832287</v>
      </c>
    </row>
    <row r="116" spans="1:7">
      <c r="A116" s="5" t="s">
        <v>1435</v>
      </c>
      <c r="B116" s="5" t="s">
        <v>385</v>
      </c>
      <c r="C116" s="5" t="s">
        <v>386</v>
      </c>
      <c r="D116" s="6">
        <v>6196766</v>
      </c>
      <c r="G116" s="6">
        <v>6203118</v>
      </c>
    </row>
    <row r="117" spans="1:7">
      <c r="A117" s="5" t="s">
        <v>1435</v>
      </c>
      <c r="B117" s="5" t="s">
        <v>387</v>
      </c>
      <c r="C117" s="5" t="s">
        <v>389</v>
      </c>
      <c r="D117" s="6">
        <v>72836248</v>
      </c>
      <c r="G117" s="6">
        <v>72718501</v>
      </c>
    </row>
    <row r="118" spans="1:7">
      <c r="A118" s="5" t="s">
        <v>1435</v>
      </c>
      <c r="B118" s="5" t="s">
        <v>391</v>
      </c>
      <c r="C118" s="5" t="s">
        <v>392</v>
      </c>
      <c r="D118" s="6">
        <v>4303151</v>
      </c>
      <c r="E118" s="6">
        <f>SUM(D94:D118)</f>
        <v>1856088884</v>
      </c>
      <c r="F118" s="6">
        <f>SUM(G94:G118)</f>
        <v>1825559478</v>
      </c>
      <c r="G118" s="6">
        <v>4305061</v>
      </c>
    </row>
    <row r="119" spans="1:7">
      <c r="A119" s="5" t="s">
        <v>394</v>
      </c>
      <c r="B119" s="5" t="s">
        <v>394</v>
      </c>
      <c r="C119" s="5" t="s">
        <v>395</v>
      </c>
      <c r="D119" s="6">
        <v>407385</v>
      </c>
      <c r="E119" s="6">
        <f>D119</f>
        <v>407385</v>
      </c>
      <c r="F119" s="6">
        <f>G119</f>
        <v>412195</v>
      </c>
      <c r="G119" s="6">
        <v>412195</v>
      </c>
    </row>
    <row r="120" spans="1:7">
      <c r="A120" s="5" t="s">
        <v>397</v>
      </c>
      <c r="B120" s="5" t="s">
        <v>397</v>
      </c>
      <c r="C120" s="5" t="s">
        <v>398</v>
      </c>
      <c r="D120" s="6">
        <v>7976256</v>
      </c>
      <c r="G120" s="6">
        <v>9301799</v>
      </c>
    </row>
    <row r="121" spans="1:7">
      <c r="A121" s="5" t="s">
        <v>397</v>
      </c>
      <c r="B121" s="5" t="s">
        <v>400</v>
      </c>
      <c r="C121" s="5" t="s">
        <v>401</v>
      </c>
      <c r="D121" s="6">
        <v>958422</v>
      </c>
      <c r="E121" s="6">
        <f>SUM(D120:D121)</f>
        <v>8934678</v>
      </c>
      <c r="F121" s="6">
        <f>SUM(G120:G121)</f>
        <v>9721524</v>
      </c>
      <c r="G121" s="6">
        <v>419725</v>
      </c>
    </row>
    <row r="122" spans="1:7">
      <c r="A122" s="5" t="s">
        <v>403</v>
      </c>
      <c r="B122" s="5" t="s">
        <v>404</v>
      </c>
      <c r="C122" s="5" t="s">
        <v>405</v>
      </c>
      <c r="D122" s="6">
        <v>4617548</v>
      </c>
      <c r="G122" s="6">
        <v>4612357</v>
      </c>
    </row>
    <row r="123" spans="1:7">
      <c r="A123" s="5" t="s">
        <v>403</v>
      </c>
      <c r="B123" s="5" t="s">
        <v>407</v>
      </c>
      <c r="C123" s="5" t="s">
        <v>408</v>
      </c>
      <c r="D123" s="6">
        <v>1820099.6800000002</v>
      </c>
      <c r="G123" s="6">
        <v>1856501.6736000001</v>
      </c>
    </row>
    <row r="124" spans="1:7">
      <c r="A124" s="5" t="s">
        <v>403</v>
      </c>
      <c r="B124" s="5" t="s">
        <v>410</v>
      </c>
      <c r="C124" s="5" t="s">
        <v>411</v>
      </c>
      <c r="D124" s="6">
        <v>423876</v>
      </c>
      <c r="G124" s="6">
        <v>422774</v>
      </c>
    </row>
    <row r="125" spans="1:7">
      <c r="A125" s="5" t="s">
        <v>403</v>
      </c>
      <c r="B125" s="5" t="s">
        <v>413</v>
      </c>
      <c r="C125" s="5" t="s">
        <v>414</v>
      </c>
      <c r="D125" s="6">
        <v>15734074.720000001</v>
      </c>
      <c r="G125" s="6">
        <v>16048756.214400001</v>
      </c>
    </row>
    <row r="126" spans="1:7">
      <c r="A126" s="5" t="s">
        <v>403</v>
      </c>
      <c r="B126" s="5" t="s">
        <v>416</v>
      </c>
      <c r="C126" s="5" t="s">
        <v>417</v>
      </c>
      <c r="D126" s="6">
        <v>35793</v>
      </c>
      <c r="G126" s="60">
        <v>35793</v>
      </c>
    </row>
    <row r="127" spans="1:7">
      <c r="A127" s="5" t="s">
        <v>403</v>
      </c>
      <c r="B127" s="5" t="s">
        <v>419</v>
      </c>
      <c r="C127" s="5" t="s">
        <v>420</v>
      </c>
      <c r="D127" s="6">
        <v>28962</v>
      </c>
      <c r="G127" s="6">
        <v>17150</v>
      </c>
    </row>
    <row r="128" spans="1:7">
      <c r="A128" s="5" t="s">
        <v>403</v>
      </c>
      <c r="B128" s="5" t="s">
        <v>422</v>
      </c>
      <c r="C128" s="5" t="s">
        <v>423</v>
      </c>
      <c r="D128" s="6">
        <v>148171367.68000001</v>
      </c>
      <c r="G128" s="6">
        <v>151134795.0336</v>
      </c>
    </row>
    <row r="129" spans="1:7">
      <c r="A129" s="5" t="s">
        <v>403</v>
      </c>
      <c r="B129" s="5" t="s">
        <v>425</v>
      </c>
      <c r="C129" s="5" t="s">
        <v>426</v>
      </c>
      <c r="D129" s="6">
        <v>4275428.6400000006</v>
      </c>
      <c r="G129" s="6">
        <v>4360937.2128000008</v>
      </c>
    </row>
    <row r="130" spans="1:7">
      <c r="A130" s="5" t="s">
        <v>403</v>
      </c>
      <c r="B130" s="5" t="s">
        <v>428</v>
      </c>
      <c r="C130" s="5" t="s">
        <v>429</v>
      </c>
      <c r="D130" s="6">
        <v>3983689.9200000004</v>
      </c>
      <c r="G130" s="6">
        <v>4063363.7184000006</v>
      </c>
    </row>
    <row r="131" spans="1:7">
      <c r="A131" s="5" t="s">
        <v>403</v>
      </c>
      <c r="B131" s="5" t="s">
        <v>431</v>
      </c>
      <c r="C131" s="5" t="s">
        <v>432</v>
      </c>
      <c r="D131" s="6">
        <v>33308343.079999998</v>
      </c>
      <c r="G131" s="6">
        <v>33974509.941600002</v>
      </c>
    </row>
    <row r="132" spans="1:7">
      <c r="A132" s="5" t="s">
        <v>403</v>
      </c>
      <c r="B132" s="5" t="s">
        <v>434</v>
      </c>
      <c r="C132" s="5" t="s">
        <v>435</v>
      </c>
      <c r="D132" s="6">
        <v>1362023.04</v>
      </c>
      <c r="G132" s="6">
        <v>1389263.5008</v>
      </c>
    </row>
    <row r="133" spans="1:7">
      <c r="A133" s="5" t="s">
        <v>403</v>
      </c>
      <c r="B133" s="5" t="s">
        <v>437</v>
      </c>
      <c r="C133" s="5" t="s">
        <v>438</v>
      </c>
      <c r="D133" s="6">
        <v>5805581.6000000006</v>
      </c>
      <c r="G133" s="6">
        <v>5921693.2320000008</v>
      </c>
    </row>
    <row r="134" spans="1:7">
      <c r="A134" s="5" t="s">
        <v>403</v>
      </c>
      <c r="B134" s="5" t="s">
        <v>440</v>
      </c>
      <c r="C134" s="5" t="s">
        <v>441</v>
      </c>
      <c r="D134" s="6">
        <v>5629703</v>
      </c>
      <c r="G134" s="6">
        <v>5632792</v>
      </c>
    </row>
    <row r="135" spans="1:7">
      <c r="A135" s="5" t="s">
        <v>403</v>
      </c>
      <c r="B135" s="5" t="s">
        <v>443</v>
      </c>
      <c r="C135" s="5" t="s">
        <v>444</v>
      </c>
      <c r="D135" s="6">
        <v>1712905.6</v>
      </c>
      <c r="G135" s="6">
        <v>1747163.7120000001</v>
      </c>
    </row>
    <row r="136" spans="1:7">
      <c r="A136" s="5" t="s">
        <v>403</v>
      </c>
      <c r="B136" s="5" t="s">
        <v>446</v>
      </c>
      <c r="C136" s="5" t="s">
        <v>447</v>
      </c>
      <c r="D136" s="6">
        <v>223747027.84000003</v>
      </c>
      <c r="G136" s="6">
        <v>228221968.39680004</v>
      </c>
    </row>
    <row r="137" spans="1:7">
      <c r="A137" s="59" t="s">
        <v>403</v>
      </c>
      <c r="B137" s="59" t="s">
        <v>449</v>
      </c>
      <c r="C137" s="59" t="s">
        <v>450</v>
      </c>
      <c r="D137" s="6">
        <v>0</v>
      </c>
      <c r="G137" s="60">
        <v>0</v>
      </c>
    </row>
    <row r="138" spans="1:7">
      <c r="A138" s="5" t="s">
        <v>403</v>
      </c>
      <c r="B138" s="5" t="s">
        <v>452</v>
      </c>
      <c r="C138" s="5" t="s">
        <v>453</v>
      </c>
      <c r="D138" s="6">
        <v>6075679.6800000006</v>
      </c>
      <c r="G138" s="6">
        <v>6197193.2736000009</v>
      </c>
    </row>
    <row r="139" spans="1:7">
      <c r="A139" s="5" t="s">
        <v>403</v>
      </c>
      <c r="B139" s="5" t="s">
        <v>455</v>
      </c>
      <c r="C139" s="5" t="s">
        <v>456</v>
      </c>
      <c r="D139" s="6">
        <v>1106300.72</v>
      </c>
      <c r="G139" s="6">
        <v>1128426.7344</v>
      </c>
    </row>
    <row r="140" spans="1:7">
      <c r="A140" s="5" t="s">
        <v>403</v>
      </c>
      <c r="B140" s="5" t="s">
        <v>458</v>
      </c>
      <c r="C140" s="5" t="s">
        <v>459</v>
      </c>
      <c r="D140" s="6">
        <v>11120383.680000002</v>
      </c>
      <c r="G140" s="6">
        <v>11342791.353600001</v>
      </c>
    </row>
    <row r="141" spans="1:7">
      <c r="A141" s="5" t="s">
        <v>403</v>
      </c>
      <c r="B141" s="5" t="s">
        <v>461</v>
      </c>
      <c r="C141" s="5" t="s">
        <v>462</v>
      </c>
      <c r="D141" s="6">
        <v>14618298</v>
      </c>
      <c r="G141" s="6">
        <v>14910663.960000001</v>
      </c>
    </row>
    <row r="142" spans="1:7">
      <c r="A142" s="5" t="s">
        <v>403</v>
      </c>
      <c r="B142" s="5" t="s">
        <v>464</v>
      </c>
      <c r="C142" s="5" t="s">
        <v>465</v>
      </c>
      <c r="D142" s="6">
        <v>1491990.08</v>
      </c>
      <c r="G142" s="6">
        <v>1521829.8816000002</v>
      </c>
    </row>
    <row r="143" spans="1:7">
      <c r="A143" s="5" t="s">
        <v>403</v>
      </c>
      <c r="B143" s="5" t="s">
        <v>467</v>
      </c>
      <c r="C143" s="5" t="s">
        <v>468</v>
      </c>
      <c r="D143" s="6">
        <v>7007328</v>
      </c>
      <c r="G143" s="6">
        <v>6967495</v>
      </c>
    </row>
    <row r="144" spans="1:7">
      <c r="A144" s="5" t="s">
        <v>403</v>
      </c>
      <c r="B144" s="5" t="s">
        <v>470</v>
      </c>
      <c r="C144" s="5" t="s">
        <v>471</v>
      </c>
      <c r="D144" s="6">
        <v>13675914</v>
      </c>
      <c r="G144" s="6">
        <v>13308053</v>
      </c>
    </row>
    <row r="145" spans="1:7">
      <c r="A145" s="5" t="s">
        <v>403</v>
      </c>
      <c r="B145" s="5" t="s">
        <v>473</v>
      </c>
      <c r="C145" s="5" t="s">
        <v>474</v>
      </c>
      <c r="D145" s="6">
        <v>15724572</v>
      </c>
      <c r="G145" s="6">
        <v>15325509</v>
      </c>
    </row>
    <row r="146" spans="1:7">
      <c r="A146" s="5" t="s">
        <v>403</v>
      </c>
      <c r="B146" s="5" t="s">
        <v>476</v>
      </c>
      <c r="C146" s="5" t="s">
        <v>477</v>
      </c>
      <c r="D146" s="6">
        <v>118370967.68000001</v>
      </c>
      <c r="G146" s="6">
        <v>120738387.0336</v>
      </c>
    </row>
    <row r="147" spans="1:7">
      <c r="A147" s="5" t="s">
        <v>403</v>
      </c>
      <c r="B147" s="5" t="s">
        <v>479</v>
      </c>
      <c r="C147" s="5" t="s">
        <v>480</v>
      </c>
      <c r="D147" s="6">
        <v>40288957</v>
      </c>
      <c r="G147" s="6">
        <v>39328100</v>
      </c>
    </row>
    <row r="148" spans="1:7">
      <c r="A148" s="5" t="s">
        <v>403</v>
      </c>
      <c r="B148" s="5" t="s">
        <v>482</v>
      </c>
      <c r="C148" s="5" t="s">
        <v>483</v>
      </c>
      <c r="D148" s="6">
        <v>14431901.199999999</v>
      </c>
      <c r="G148" s="6">
        <v>14720539.223999999</v>
      </c>
    </row>
    <row r="149" spans="1:7">
      <c r="A149" s="59" t="s">
        <v>403</v>
      </c>
      <c r="B149" s="59" t="s">
        <v>485</v>
      </c>
      <c r="C149" s="59" t="s">
        <v>486</v>
      </c>
      <c r="D149" s="6">
        <v>34995073.555555552</v>
      </c>
      <c r="G149" s="60">
        <v>55142437.235294119</v>
      </c>
    </row>
    <row r="150" spans="1:7">
      <c r="A150" s="5" t="s">
        <v>403</v>
      </c>
      <c r="B150" s="5" t="s">
        <v>488</v>
      </c>
      <c r="C150" s="5" t="s">
        <v>489</v>
      </c>
      <c r="D150" s="6">
        <v>0</v>
      </c>
      <c r="E150" s="6">
        <f>SUM(D122:D150)</f>
        <v>729563789.39555573</v>
      </c>
      <c r="F150" s="6">
        <f>SUM(G122:G150)</f>
        <v>760071244.33209407</v>
      </c>
      <c r="G150" s="6">
        <v>0</v>
      </c>
    </row>
    <row r="151" spans="1:7">
      <c r="A151" s="5" t="s">
        <v>491</v>
      </c>
      <c r="B151" s="5" t="s">
        <v>492</v>
      </c>
      <c r="C151" s="5" t="s">
        <v>493</v>
      </c>
      <c r="D151" s="6">
        <v>350617</v>
      </c>
      <c r="G151" s="6">
        <v>353708</v>
      </c>
    </row>
    <row r="152" spans="1:7">
      <c r="A152" s="5" t="s">
        <v>491</v>
      </c>
      <c r="B152" s="5" t="s">
        <v>495</v>
      </c>
      <c r="C152" s="5" t="s">
        <v>496</v>
      </c>
      <c r="D152" s="6">
        <v>1104454</v>
      </c>
      <c r="E152" s="6">
        <f>SUM(D151:D152)</f>
        <v>1455071</v>
      </c>
      <c r="F152" s="6">
        <f>SUM(G151:G152)</f>
        <v>1494458</v>
      </c>
      <c r="G152" s="6">
        <v>1140750</v>
      </c>
    </row>
    <row r="153" spans="1:7">
      <c r="A153" s="5" t="s">
        <v>498</v>
      </c>
      <c r="B153" s="5" t="s">
        <v>499</v>
      </c>
      <c r="C153" s="5" t="s">
        <v>500</v>
      </c>
      <c r="D153" s="6">
        <v>3014449</v>
      </c>
      <c r="G153" s="6">
        <v>2739088</v>
      </c>
    </row>
    <row r="154" spans="1:7">
      <c r="A154" s="5" t="s">
        <v>498</v>
      </c>
      <c r="B154" s="5" t="s">
        <v>519</v>
      </c>
      <c r="C154" s="5" t="s">
        <v>520</v>
      </c>
      <c r="D154" s="6">
        <v>3578338</v>
      </c>
      <c r="G154" s="6">
        <v>3187930</v>
      </c>
    </row>
    <row r="155" spans="1:7">
      <c r="A155" s="5" t="s">
        <v>498</v>
      </c>
      <c r="B155" s="5" t="s">
        <v>522</v>
      </c>
      <c r="C155" s="5" t="s">
        <v>523</v>
      </c>
      <c r="D155" s="6">
        <v>296144.92000000004</v>
      </c>
      <c r="G155" s="6">
        <v>302067.81840000005</v>
      </c>
    </row>
    <row r="156" spans="1:7">
      <c r="A156" s="5" t="s">
        <v>498</v>
      </c>
      <c r="B156" s="5" t="s">
        <v>525</v>
      </c>
      <c r="C156" s="5" t="s">
        <v>526</v>
      </c>
      <c r="D156" s="6">
        <v>1037379</v>
      </c>
      <c r="G156" s="6">
        <v>1042347</v>
      </c>
    </row>
    <row r="157" spans="1:7">
      <c r="A157" s="5" t="s">
        <v>498</v>
      </c>
      <c r="B157" s="5" t="s">
        <v>528</v>
      </c>
      <c r="C157" s="5" t="s">
        <v>529</v>
      </c>
      <c r="D157" s="6">
        <v>0</v>
      </c>
      <c r="G157" s="6">
        <v>0</v>
      </c>
    </row>
    <row r="158" spans="1:7">
      <c r="A158" s="5" t="s">
        <v>498</v>
      </c>
      <c r="B158" s="5" t="s">
        <v>531</v>
      </c>
      <c r="C158" s="5" t="s">
        <v>532</v>
      </c>
      <c r="D158" s="6">
        <v>927054.8</v>
      </c>
      <c r="G158" s="6">
        <v>945595.89600000007</v>
      </c>
    </row>
    <row r="159" spans="1:7">
      <c r="A159" s="5" t="s">
        <v>498</v>
      </c>
      <c r="B159" s="5" t="s">
        <v>534</v>
      </c>
      <c r="C159" s="5" t="s">
        <v>535</v>
      </c>
      <c r="D159" s="6">
        <v>2240522</v>
      </c>
      <c r="G159" s="6">
        <v>2385584</v>
      </c>
    </row>
    <row r="160" spans="1:7">
      <c r="A160" s="5" t="s">
        <v>498</v>
      </c>
      <c r="B160" s="5" t="s">
        <v>537</v>
      </c>
      <c r="C160" s="5" t="s">
        <v>538</v>
      </c>
      <c r="D160" s="6">
        <v>833584</v>
      </c>
      <c r="G160" s="6">
        <v>814024</v>
      </c>
    </row>
    <row r="161" spans="1:7">
      <c r="A161" s="5" t="s">
        <v>498</v>
      </c>
      <c r="B161" s="5" t="s">
        <v>540</v>
      </c>
      <c r="C161" s="5" t="s">
        <v>541</v>
      </c>
      <c r="D161" s="6">
        <v>3323083</v>
      </c>
      <c r="G161" s="6">
        <v>3039774</v>
      </c>
    </row>
    <row r="162" spans="1:7">
      <c r="A162" s="5" t="s">
        <v>498</v>
      </c>
      <c r="B162" s="5" t="s">
        <v>543</v>
      </c>
      <c r="C162" s="5" t="s">
        <v>544</v>
      </c>
      <c r="D162" s="6">
        <v>128047317</v>
      </c>
      <c r="G162" s="6">
        <v>128097063</v>
      </c>
    </row>
    <row r="163" spans="1:7">
      <c r="A163" s="5" t="s">
        <v>498</v>
      </c>
      <c r="B163" s="5" t="s">
        <v>546</v>
      </c>
      <c r="C163" s="5" t="s">
        <v>547</v>
      </c>
      <c r="D163" s="6">
        <v>16674419</v>
      </c>
      <c r="G163" s="6">
        <v>16140332</v>
      </c>
    </row>
    <row r="164" spans="1:7">
      <c r="A164" s="5" t="s">
        <v>498</v>
      </c>
      <c r="B164" s="5" t="s">
        <v>549</v>
      </c>
      <c r="C164" s="5" t="s">
        <v>550</v>
      </c>
      <c r="D164" s="6">
        <v>1776960</v>
      </c>
      <c r="E164" s="6">
        <f>SUM(D153:D164)</f>
        <v>161749250.72</v>
      </c>
      <c r="F164" s="6">
        <f>SUM(G153:G164)</f>
        <v>160517322.71439999</v>
      </c>
      <c r="G164" s="6">
        <v>1823517</v>
      </c>
    </row>
    <row r="165" spans="1:7">
      <c r="A165" s="5" t="s">
        <v>555</v>
      </c>
      <c r="B165" s="5" t="s">
        <v>552</v>
      </c>
      <c r="C165" s="5" t="s">
        <v>553</v>
      </c>
      <c r="D165" s="6">
        <v>2537778</v>
      </c>
      <c r="E165" s="6">
        <f>D165</f>
        <v>2537778</v>
      </c>
      <c r="F165" s="6">
        <f>G165</f>
        <v>2543852</v>
      </c>
      <c r="G165" s="6">
        <v>2543852</v>
      </c>
    </row>
    <row r="166" spans="1:7">
      <c r="A166" s="5" t="s">
        <v>558</v>
      </c>
      <c r="B166" s="5" t="s">
        <v>556</v>
      </c>
      <c r="C166" s="5" t="s">
        <v>557</v>
      </c>
      <c r="D166" s="6">
        <v>44700836</v>
      </c>
      <c r="G166" s="6">
        <v>45594852.719999999</v>
      </c>
    </row>
    <row r="167" spans="1:7">
      <c r="A167" s="5" t="s">
        <v>558</v>
      </c>
      <c r="B167" s="5" t="s">
        <v>560</v>
      </c>
      <c r="C167" s="5" t="s">
        <v>561</v>
      </c>
      <c r="D167" s="6">
        <v>366025.42000000004</v>
      </c>
      <c r="G167" s="6">
        <v>373345.92840000003</v>
      </c>
    </row>
    <row r="168" spans="1:7">
      <c r="A168" s="5" t="s">
        <v>558</v>
      </c>
      <c r="B168" s="5" t="s">
        <v>563</v>
      </c>
      <c r="C168" s="5" t="s">
        <v>564</v>
      </c>
      <c r="D168" s="6">
        <v>16028506</v>
      </c>
      <c r="E168" s="6">
        <f>SUM(D166:D168)</f>
        <v>61095367.420000002</v>
      </c>
      <c r="F168" s="6">
        <f>SUM(G166:G168)</f>
        <v>61960645.648400001</v>
      </c>
      <c r="G168" s="6">
        <v>15992447</v>
      </c>
    </row>
    <row r="169" spans="1:7">
      <c r="A169" s="5" t="s">
        <v>566</v>
      </c>
      <c r="B169" s="5" t="s">
        <v>567</v>
      </c>
      <c r="C169" s="5" t="s">
        <v>568</v>
      </c>
      <c r="D169" s="6">
        <v>14689459</v>
      </c>
      <c r="E169" s="6">
        <f>D169</f>
        <v>14689459</v>
      </c>
      <c r="F169" s="6">
        <f>G169</f>
        <v>14082116</v>
      </c>
      <c r="G169" s="6">
        <v>14082116</v>
      </c>
    </row>
    <row r="170" spans="1:7">
      <c r="A170" s="5" t="s">
        <v>570</v>
      </c>
      <c r="B170" s="5" t="s">
        <v>571</v>
      </c>
      <c r="C170" s="5" t="s">
        <v>572</v>
      </c>
      <c r="D170" s="6">
        <v>0</v>
      </c>
      <c r="G170" s="6">
        <v>382868</v>
      </c>
    </row>
    <row r="171" spans="1:7">
      <c r="A171" s="5" t="s">
        <v>570</v>
      </c>
      <c r="B171" s="5" t="s">
        <v>574</v>
      </c>
      <c r="C171" s="5" t="s">
        <v>575</v>
      </c>
      <c r="D171" s="6">
        <v>4798687</v>
      </c>
      <c r="G171" s="6">
        <v>4648172</v>
      </c>
    </row>
    <row r="172" spans="1:7">
      <c r="A172" s="5" t="s">
        <v>570</v>
      </c>
      <c r="B172" s="5" t="s">
        <v>577</v>
      </c>
      <c r="C172" s="5" t="s">
        <v>578</v>
      </c>
      <c r="D172" s="6">
        <v>710845</v>
      </c>
      <c r="G172" s="6">
        <v>820874</v>
      </c>
    </row>
    <row r="173" spans="1:7">
      <c r="A173" s="5" t="s">
        <v>570</v>
      </c>
      <c r="B173" s="5" t="s">
        <v>580</v>
      </c>
      <c r="C173" s="5" t="s">
        <v>581</v>
      </c>
      <c r="D173" s="6">
        <v>0</v>
      </c>
      <c r="G173" s="6">
        <v>0</v>
      </c>
    </row>
    <row r="174" spans="1:7">
      <c r="A174" s="5" t="s">
        <v>570</v>
      </c>
      <c r="B174" s="5" t="s">
        <v>583</v>
      </c>
      <c r="C174" s="5" t="s">
        <v>584</v>
      </c>
      <c r="D174" s="6">
        <v>0</v>
      </c>
      <c r="G174" s="6">
        <v>0</v>
      </c>
    </row>
    <row r="175" spans="1:7">
      <c r="A175" s="5" t="s">
        <v>570</v>
      </c>
      <c r="B175" s="5" t="s">
        <v>586</v>
      </c>
      <c r="C175" s="5" t="s">
        <v>587</v>
      </c>
      <c r="D175" s="6">
        <v>14765232</v>
      </c>
      <c r="G175" s="6">
        <v>13098970</v>
      </c>
    </row>
    <row r="176" spans="1:7">
      <c r="A176" s="5" t="s">
        <v>570</v>
      </c>
      <c r="B176" s="5" t="s">
        <v>589</v>
      </c>
      <c r="C176" s="5" t="s">
        <v>590</v>
      </c>
      <c r="D176" s="6">
        <v>0</v>
      </c>
      <c r="G176" s="6">
        <v>0</v>
      </c>
    </row>
    <row r="177" spans="1:7">
      <c r="A177" s="5" t="s">
        <v>570</v>
      </c>
      <c r="B177" s="5" t="s">
        <v>592</v>
      </c>
      <c r="C177" s="5" t="s">
        <v>593</v>
      </c>
      <c r="D177" s="6">
        <v>1302401</v>
      </c>
      <c r="G177" s="6">
        <v>1237410</v>
      </c>
    </row>
    <row r="178" spans="1:7">
      <c r="A178" s="5" t="s">
        <v>570</v>
      </c>
      <c r="B178" s="5" t="s">
        <v>595</v>
      </c>
      <c r="C178" s="5" t="s">
        <v>596</v>
      </c>
      <c r="D178" s="6">
        <v>0</v>
      </c>
      <c r="G178" s="6">
        <v>0</v>
      </c>
    </row>
    <row r="179" spans="1:7">
      <c r="A179" s="5" t="s">
        <v>570</v>
      </c>
      <c r="B179" s="5" t="s">
        <v>598</v>
      </c>
      <c r="C179" s="5" t="s">
        <v>599</v>
      </c>
      <c r="D179" s="6">
        <v>0</v>
      </c>
      <c r="G179" s="6">
        <v>0</v>
      </c>
    </row>
    <row r="180" spans="1:7">
      <c r="A180" s="5" t="s">
        <v>570</v>
      </c>
      <c r="B180" s="5" t="s">
        <v>601</v>
      </c>
      <c r="C180" s="5" t="s">
        <v>602</v>
      </c>
      <c r="D180" s="6">
        <v>0</v>
      </c>
      <c r="G180" s="6">
        <v>0</v>
      </c>
    </row>
    <row r="181" spans="1:7">
      <c r="A181" s="5" t="s">
        <v>570</v>
      </c>
      <c r="B181" s="5" t="s">
        <v>604</v>
      </c>
      <c r="C181" s="5" t="s">
        <v>605</v>
      </c>
      <c r="D181" s="6">
        <v>0</v>
      </c>
      <c r="G181" s="6">
        <v>0</v>
      </c>
    </row>
    <row r="182" spans="1:7">
      <c r="A182" s="5" t="s">
        <v>570</v>
      </c>
      <c r="B182" s="5" t="s">
        <v>607</v>
      </c>
      <c r="C182" s="5" t="s">
        <v>608</v>
      </c>
      <c r="D182" s="6">
        <v>544551</v>
      </c>
      <c r="G182" s="6">
        <v>549024</v>
      </c>
    </row>
    <row r="183" spans="1:7">
      <c r="A183" s="5" t="s">
        <v>570</v>
      </c>
      <c r="B183" s="5" t="s">
        <v>610</v>
      </c>
      <c r="C183" s="5" t="s">
        <v>611</v>
      </c>
      <c r="D183" s="6">
        <v>9453949</v>
      </c>
      <c r="G183" s="6">
        <v>8295733</v>
      </c>
    </row>
    <row r="184" spans="1:7">
      <c r="A184" s="5" t="s">
        <v>570</v>
      </c>
      <c r="B184" s="5" t="s">
        <v>613</v>
      </c>
      <c r="C184" s="5" t="s">
        <v>614</v>
      </c>
      <c r="D184" s="6">
        <v>10398537</v>
      </c>
      <c r="G184" s="6">
        <v>10817800</v>
      </c>
    </row>
    <row r="185" spans="1:7">
      <c r="A185" s="5" t="s">
        <v>570</v>
      </c>
      <c r="B185" s="5" t="s">
        <v>616</v>
      </c>
      <c r="C185" s="5" t="s">
        <v>617</v>
      </c>
      <c r="D185" s="6">
        <v>3107360</v>
      </c>
      <c r="G185" s="6">
        <v>3184694</v>
      </c>
    </row>
    <row r="186" spans="1:7">
      <c r="A186" s="5" t="s">
        <v>570</v>
      </c>
      <c r="B186" s="5" t="s">
        <v>619</v>
      </c>
      <c r="C186" s="5" t="s">
        <v>620</v>
      </c>
      <c r="D186" s="6">
        <v>1421704</v>
      </c>
      <c r="G186" s="6">
        <v>1437506</v>
      </c>
    </row>
    <row r="187" spans="1:7">
      <c r="A187" s="5" t="s">
        <v>570</v>
      </c>
      <c r="B187" s="5" t="s">
        <v>622</v>
      </c>
      <c r="C187" s="5" t="s">
        <v>1556</v>
      </c>
      <c r="D187" s="6">
        <v>11960378</v>
      </c>
      <c r="G187" s="6">
        <v>11848398</v>
      </c>
    </row>
    <row r="188" spans="1:7">
      <c r="A188" s="5" t="s">
        <v>570</v>
      </c>
      <c r="B188" s="5" t="s">
        <v>624</v>
      </c>
      <c r="C188" s="5" t="s">
        <v>625</v>
      </c>
      <c r="D188" s="6">
        <v>16274563</v>
      </c>
      <c r="G188" s="6">
        <v>16476484</v>
      </c>
    </row>
    <row r="189" spans="1:7">
      <c r="A189" s="5" t="s">
        <v>570</v>
      </c>
      <c r="B189" s="5" t="s">
        <v>627</v>
      </c>
      <c r="C189" s="5" t="s">
        <v>628</v>
      </c>
      <c r="D189" s="6">
        <v>0</v>
      </c>
      <c r="G189" s="6">
        <v>0</v>
      </c>
    </row>
    <row r="190" spans="1:7">
      <c r="A190" s="5" t="s">
        <v>570</v>
      </c>
      <c r="B190" s="5" t="s">
        <v>630</v>
      </c>
      <c r="C190" s="5" t="s">
        <v>631</v>
      </c>
      <c r="D190" s="6">
        <v>0</v>
      </c>
      <c r="G190" s="6">
        <v>0</v>
      </c>
    </row>
    <row r="191" spans="1:7">
      <c r="A191" s="5" t="s">
        <v>570</v>
      </c>
      <c r="B191" s="5" t="s">
        <v>633</v>
      </c>
      <c r="C191" s="5" t="s">
        <v>634</v>
      </c>
      <c r="D191" s="6">
        <v>652671</v>
      </c>
      <c r="G191" s="6">
        <v>655426</v>
      </c>
    </row>
    <row r="192" spans="1:7">
      <c r="A192" s="5" t="s">
        <v>570</v>
      </c>
      <c r="B192" s="5" t="s">
        <v>636</v>
      </c>
      <c r="C192" s="5" t="s">
        <v>637</v>
      </c>
      <c r="D192" s="6">
        <v>6009406</v>
      </c>
      <c r="G192" s="6">
        <v>6891661</v>
      </c>
    </row>
    <row r="193" spans="1:7">
      <c r="A193" s="5" t="s">
        <v>570</v>
      </c>
      <c r="B193" s="5" t="s">
        <v>639</v>
      </c>
      <c r="C193" s="5" t="s">
        <v>640</v>
      </c>
      <c r="D193" s="6">
        <v>1309232</v>
      </c>
      <c r="G193" s="6">
        <v>1389728</v>
      </c>
    </row>
    <row r="194" spans="1:7">
      <c r="A194" s="5" t="s">
        <v>570</v>
      </c>
      <c r="B194" s="5" t="s">
        <v>642</v>
      </c>
      <c r="C194" s="5" t="s">
        <v>643</v>
      </c>
      <c r="D194" s="6">
        <v>1195600</v>
      </c>
      <c r="G194" s="6">
        <v>1069360</v>
      </c>
    </row>
    <row r="195" spans="1:7">
      <c r="A195" s="5" t="s">
        <v>570</v>
      </c>
      <c r="B195" s="5" t="s">
        <v>645</v>
      </c>
      <c r="C195" s="5" t="s">
        <v>646</v>
      </c>
      <c r="D195" s="6">
        <v>3029695</v>
      </c>
      <c r="G195" s="6">
        <v>2822899</v>
      </c>
    </row>
    <row r="196" spans="1:7">
      <c r="A196" s="5" t="s">
        <v>570</v>
      </c>
      <c r="B196" s="5" t="s">
        <v>648</v>
      </c>
      <c r="C196" s="5" t="s">
        <v>649</v>
      </c>
      <c r="D196" s="6">
        <v>1784484</v>
      </c>
      <c r="G196" s="6">
        <v>1953043</v>
      </c>
    </row>
    <row r="197" spans="1:7">
      <c r="A197" s="5" t="s">
        <v>570</v>
      </c>
      <c r="B197" s="5" t="s">
        <v>651</v>
      </c>
      <c r="C197" s="5" t="s">
        <v>652</v>
      </c>
      <c r="D197" s="6">
        <v>8559910.2200000007</v>
      </c>
      <c r="G197" s="6">
        <v>8519895</v>
      </c>
    </row>
    <row r="198" spans="1:7">
      <c r="A198" s="5" t="s">
        <v>570</v>
      </c>
      <c r="B198" s="5" t="s">
        <v>654</v>
      </c>
      <c r="C198" s="5" t="s">
        <v>655</v>
      </c>
      <c r="D198" s="6">
        <v>2676807.4</v>
      </c>
      <c r="G198" s="6">
        <v>2730343.548</v>
      </c>
    </row>
    <row r="199" spans="1:7">
      <c r="A199" s="5" t="s">
        <v>570</v>
      </c>
      <c r="B199" s="5" t="s">
        <v>657</v>
      </c>
      <c r="C199" s="5" t="s">
        <v>658</v>
      </c>
      <c r="D199" s="6">
        <v>755170</v>
      </c>
      <c r="G199" s="6">
        <v>915555</v>
      </c>
    </row>
    <row r="200" spans="1:7">
      <c r="A200" s="5" t="s">
        <v>570</v>
      </c>
      <c r="B200" s="5" t="s">
        <v>660</v>
      </c>
      <c r="C200" s="5" t="s">
        <v>661</v>
      </c>
      <c r="D200" s="6">
        <v>1412167.06</v>
      </c>
      <c r="G200" s="6">
        <v>1341862.4012000002</v>
      </c>
    </row>
    <row r="201" spans="1:7">
      <c r="A201" s="5" t="s">
        <v>570</v>
      </c>
      <c r="B201" s="5" t="s">
        <v>663</v>
      </c>
      <c r="C201" s="5" t="s">
        <v>664</v>
      </c>
      <c r="D201" s="6">
        <v>3270666</v>
      </c>
      <c r="G201" s="6">
        <v>3259345</v>
      </c>
    </row>
    <row r="202" spans="1:7">
      <c r="A202" s="5" t="s">
        <v>570</v>
      </c>
      <c r="B202" s="5" t="s">
        <v>666</v>
      </c>
      <c r="C202" s="5" t="s">
        <v>667</v>
      </c>
      <c r="D202" s="6">
        <v>1638766</v>
      </c>
      <c r="G202" s="6">
        <v>1345319</v>
      </c>
    </row>
    <row r="203" spans="1:7">
      <c r="A203" s="5" t="s">
        <v>570</v>
      </c>
      <c r="B203" s="5" t="s">
        <v>669</v>
      </c>
      <c r="C203" s="5" t="s">
        <v>670</v>
      </c>
      <c r="D203" s="6">
        <v>0</v>
      </c>
      <c r="G203" s="6">
        <v>0</v>
      </c>
    </row>
    <row r="204" spans="1:7">
      <c r="A204" s="5" t="s">
        <v>570</v>
      </c>
      <c r="B204" s="5" t="s">
        <v>672</v>
      </c>
      <c r="C204" s="5" t="s">
        <v>673</v>
      </c>
      <c r="D204" s="6">
        <v>380076</v>
      </c>
      <c r="G204" s="6">
        <v>268614</v>
      </c>
    </row>
    <row r="205" spans="1:7">
      <c r="A205" s="5" t="s">
        <v>570</v>
      </c>
      <c r="B205" s="5" t="s">
        <v>675</v>
      </c>
      <c r="C205" s="5" t="s">
        <v>676</v>
      </c>
      <c r="D205" s="6">
        <v>288697</v>
      </c>
      <c r="G205" s="6">
        <v>230697</v>
      </c>
    </row>
    <row r="206" spans="1:7">
      <c r="A206" s="5" t="s">
        <v>570</v>
      </c>
      <c r="B206" s="5" t="s">
        <v>678</v>
      </c>
      <c r="C206" s="5" t="s">
        <v>679</v>
      </c>
      <c r="D206" s="6">
        <v>6088060</v>
      </c>
      <c r="G206" s="6">
        <v>5721907</v>
      </c>
    </row>
    <row r="207" spans="1:7">
      <c r="A207" s="5" t="s">
        <v>570</v>
      </c>
      <c r="B207" s="5" t="s">
        <v>681</v>
      </c>
      <c r="C207" s="5" t="s">
        <v>682</v>
      </c>
      <c r="D207" s="6">
        <v>581504.34000000008</v>
      </c>
      <c r="G207" s="6">
        <v>593134.42680000013</v>
      </c>
    </row>
    <row r="208" spans="1:7">
      <c r="A208" s="5" t="s">
        <v>570</v>
      </c>
      <c r="B208" s="5" t="s">
        <v>684</v>
      </c>
      <c r="C208" s="5" t="s">
        <v>685</v>
      </c>
      <c r="D208" s="6">
        <v>258334</v>
      </c>
      <c r="G208" s="6">
        <v>246369</v>
      </c>
    </row>
    <row r="209" spans="1:7">
      <c r="A209" s="5" t="s">
        <v>570</v>
      </c>
      <c r="B209" s="5" t="s">
        <v>687</v>
      </c>
      <c r="C209" s="5" t="s">
        <v>688</v>
      </c>
      <c r="D209" s="6">
        <v>3830416</v>
      </c>
      <c r="E209" s="6">
        <f>SUM(D170:D209)</f>
        <v>118459869.02000001</v>
      </c>
      <c r="F209" s="6">
        <f>SUM(G170:G209)</f>
        <v>116660115.69599998</v>
      </c>
      <c r="G209" s="6">
        <v>3907024.3200000003</v>
      </c>
    </row>
    <row r="210" spans="1:7">
      <c r="A210" s="5" t="s">
        <v>692</v>
      </c>
      <c r="B210" s="5" t="s">
        <v>690</v>
      </c>
      <c r="C210" s="5" t="s">
        <v>691</v>
      </c>
      <c r="D210" s="6">
        <v>2000000</v>
      </c>
      <c r="G210" s="6">
        <v>2040000</v>
      </c>
    </row>
    <row r="211" spans="1:7">
      <c r="A211" s="5" t="s">
        <v>692</v>
      </c>
      <c r="B211" s="5" t="s">
        <v>694</v>
      </c>
      <c r="C211" s="5" t="s">
        <v>695</v>
      </c>
      <c r="D211" s="6">
        <v>666687</v>
      </c>
      <c r="G211" s="6">
        <v>586885</v>
      </c>
    </row>
    <row r="212" spans="1:7">
      <c r="A212" s="5" t="s">
        <v>692</v>
      </c>
      <c r="B212" s="5" t="s">
        <v>697</v>
      </c>
      <c r="C212" s="5" t="s">
        <v>698</v>
      </c>
      <c r="D212" s="6">
        <v>2677285</v>
      </c>
      <c r="G212" s="6">
        <v>2678969</v>
      </c>
    </row>
    <row r="213" spans="1:7">
      <c r="A213" s="5" t="s">
        <v>692</v>
      </c>
      <c r="B213" s="5" t="s">
        <v>700</v>
      </c>
      <c r="C213" s="5" t="s">
        <v>701</v>
      </c>
      <c r="D213" s="6">
        <v>596199</v>
      </c>
      <c r="G213" s="6">
        <v>596640</v>
      </c>
    </row>
    <row r="214" spans="1:7">
      <c r="A214" s="5" t="s">
        <v>692</v>
      </c>
      <c r="B214" s="5" t="s">
        <v>703</v>
      </c>
      <c r="C214" s="5" t="s">
        <v>704</v>
      </c>
      <c r="D214" s="6">
        <v>0</v>
      </c>
      <c r="G214" s="6">
        <v>0</v>
      </c>
    </row>
    <row r="215" spans="1:7">
      <c r="A215" s="5" t="s">
        <v>692</v>
      </c>
      <c r="B215" s="5" t="s">
        <v>706</v>
      </c>
      <c r="C215" s="5" t="s">
        <v>707</v>
      </c>
      <c r="D215" s="6">
        <v>0</v>
      </c>
      <c r="G215" s="6">
        <v>0</v>
      </c>
    </row>
    <row r="216" spans="1:7">
      <c r="A216" s="5" t="s">
        <v>692</v>
      </c>
      <c r="B216" s="5" t="s">
        <v>709</v>
      </c>
      <c r="C216" s="5" t="s">
        <v>710</v>
      </c>
      <c r="D216" s="6">
        <v>0</v>
      </c>
      <c r="E216" s="6">
        <f>SUM(D210:D216)</f>
        <v>5940171</v>
      </c>
      <c r="F216" s="6">
        <f>SUM(G210:G216)</f>
        <v>5902494</v>
      </c>
      <c r="G216" s="6">
        <v>0</v>
      </c>
    </row>
    <row r="217" spans="1:7">
      <c r="A217" s="5" t="s">
        <v>712</v>
      </c>
      <c r="B217" s="5" t="s">
        <v>713</v>
      </c>
      <c r="C217" s="5" t="s">
        <v>714</v>
      </c>
      <c r="D217" s="6">
        <v>0</v>
      </c>
      <c r="G217" s="6">
        <v>0</v>
      </c>
    </row>
    <row r="218" spans="1:7">
      <c r="A218" s="5" t="s">
        <v>712</v>
      </c>
      <c r="B218" s="5" t="s">
        <v>716</v>
      </c>
      <c r="C218" s="5" t="s">
        <v>717</v>
      </c>
      <c r="D218" s="6">
        <v>3293187</v>
      </c>
      <c r="G218" s="6">
        <v>3323582</v>
      </c>
    </row>
    <row r="219" spans="1:7">
      <c r="A219" s="5" t="s">
        <v>712</v>
      </c>
      <c r="B219" s="5" t="s">
        <v>719</v>
      </c>
      <c r="C219" s="5" t="s">
        <v>720</v>
      </c>
      <c r="D219" s="6">
        <v>0</v>
      </c>
      <c r="G219" s="6">
        <v>0</v>
      </c>
    </row>
    <row r="220" spans="1:7">
      <c r="A220" s="5" t="s">
        <v>712</v>
      </c>
      <c r="B220" s="5" t="s">
        <v>722</v>
      </c>
      <c r="C220" s="5" t="s">
        <v>723</v>
      </c>
      <c r="D220" s="6">
        <v>0</v>
      </c>
      <c r="G220" s="6">
        <v>0</v>
      </c>
    </row>
    <row r="221" spans="1:7">
      <c r="A221" s="5" t="s">
        <v>712</v>
      </c>
      <c r="B221" s="5" t="s">
        <v>725</v>
      </c>
      <c r="C221" s="5" t="s">
        <v>726</v>
      </c>
      <c r="D221" s="6">
        <v>0</v>
      </c>
      <c r="G221" s="6">
        <v>0</v>
      </c>
    </row>
    <row r="222" spans="1:7">
      <c r="A222" s="5" t="s">
        <v>712</v>
      </c>
      <c r="B222" s="5" t="s">
        <v>728</v>
      </c>
      <c r="C222" s="65" t="s">
        <v>729</v>
      </c>
      <c r="D222" s="6">
        <v>268757</v>
      </c>
      <c r="G222" s="6">
        <v>281671</v>
      </c>
    </row>
    <row r="223" spans="1:7">
      <c r="A223" s="5" t="s">
        <v>712</v>
      </c>
      <c r="B223" s="5" t="s">
        <v>731</v>
      </c>
      <c r="C223" s="5" t="s">
        <v>732</v>
      </c>
      <c r="D223" s="6">
        <v>408698</v>
      </c>
      <c r="G223" s="6">
        <v>383426</v>
      </c>
    </row>
    <row r="224" spans="1:7">
      <c r="A224" s="5" t="s">
        <v>712</v>
      </c>
      <c r="B224" s="5" t="s">
        <v>734</v>
      </c>
      <c r="C224" s="5" t="s">
        <v>735</v>
      </c>
      <c r="D224" s="6">
        <v>407125.86000000004</v>
      </c>
      <c r="G224" s="6">
        <v>415268.37720000005</v>
      </c>
    </row>
    <row r="225" spans="1:7">
      <c r="A225" s="5" t="s">
        <v>712</v>
      </c>
      <c r="B225" s="5" t="s">
        <v>737</v>
      </c>
      <c r="C225" s="5" t="s">
        <v>738</v>
      </c>
      <c r="D225" s="6">
        <v>499446.56</v>
      </c>
      <c r="G225" s="6">
        <v>509435.49119999999</v>
      </c>
    </row>
    <row r="226" spans="1:7">
      <c r="A226" s="5" t="s">
        <v>712</v>
      </c>
      <c r="B226" s="5" t="s">
        <v>740</v>
      </c>
      <c r="C226" s="5" t="s">
        <v>741</v>
      </c>
      <c r="D226" s="6">
        <v>1459275.5</v>
      </c>
      <c r="G226" s="6">
        <v>1488461.01</v>
      </c>
    </row>
    <row r="227" spans="1:7">
      <c r="A227" s="5" t="s">
        <v>712</v>
      </c>
      <c r="B227" s="5" t="s">
        <v>743</v>
      </c>
      <c r="C227" s="5" t="s">
        <v>744</v>
      </c>
      <c r="D227" s="6">
        <v>1190922.72</v>
      </c>
      <c r="G227" s="6">
        <v>1214741.1743999999</v>
      </c>
    </row>
    <row r="228" spans="1:7">
      <c r="A228" s="5" t="s">
        <v>712</v>
      </c>
      <c r="B228" s="5" t="s">
        <v>746</v>
      </c>
      <c r="C228" s="5" t="s">
        <v>747</v>
      </c>
      <c r="D228" s="6">
        <v>1202683.4200000002</v>
      </c>
      <c r="G228" s="6">
        <v>1226737.0884000002</v>
      </c>
    </row>
    <row r="229" spans="1:7">
      <c r="A229" s="5" t="s">
        <v>712</v>
      </c>
      <c r="B229" s="5" t="s">
        <v>749</v>
      </c>
      <c r="C229" s="5" t="s">
        <v>750</v>
      </c>
      <c r="D229" s="6">
        <v>0</v>
      </c>
      <c r="E229" s="6">
        <f>SUM(D217:D229)</f>
        <v>8730096.0600000005</v>
      </c>
      <c r="F229" s="6">
        <f>SUM(G217:G229)</f>
        <v>8843322.1412000004</v>
      </c>
      <c r="G229" s="6">
        <v>0</v>
      </c>
    </row>
    <row r="230" spans="1:7">
      <c r="A230" s="5" t="s">
        <v>752</v>
      </c>
      <c r="B230" s="5" t="s">
        <v>753</v>
      </c>
      <c r="C230" s="5" t="s">
        <v>754</v>
      </c>
      <c r="D230" s="6">
        <v>1688983</v>
      </c>
      <c r="G230" s="6">
        <v>1764328</v>
      </c>
    </row>
    <row r="231" spans="1:7">
      <c r="A231" s="5" t="s">
        <v>752</v>
      </c>
      <c r="B231" s="5" t="s">
        <v>756</v>
      </c>
      <c r="C231" s="5" t="s">
        <v>757</v>
      </c>
      <c r="D231" s="6">
        <v>2229840</v>
      </c>
      <c r="G231" s="6">
        <v>2158340</v>
      </c>
    </row>
    <row r="232" spans="1:7">
      <c r="A232" s="5" t="s">
        <v>752</v>
      </c>
      <c r="B232" s="5" t="s">
        <v>759</v>
      </c>
      <c r="C232" s="5" t="s">
        <v>760</v>
      </c>
      <c r="D232" s="6">
        <v>594800</v>
      </c>
      <c r="G232" s="6">
        <v>602865</v>
      </c>
    </row>
    <row r="233" spans="1:7">
      <c r="A233" s="5" t="s">
        <v>752</v>
      </c>
      <c r="B233" s="5" t="s">
        <v>762</v>
      </c>
      <c r="C233" s="5" t="s">
        <v>763</v>
      </c>
      <c r="D233" s="6">
        <v>27113513</v>
      </c>
      <c r="G233" s="6">
        <v>27046199</v>
      </c>
    </row>
    <row r="234" spans="1:7">
      <c r="A234" s="5" t="s">
        <v>752</v>
      </c>
      <c r="B234" s="5" t="s">
        <v>765</v>
      </c>
      <c r="C234" s="5" t="s">
        <v>766</v>
      </c>
      <c r="D234" s="6">
        <v>823250.06</v>
      </c>
      <c r="G234" s="6">
        <v>839715.06120000011</v>
      </c>
    </row>
    <row r="235" spans="1:7">
      <c r="A235" s="5" t="s">
        <v>752</v>
      </c>
      <c r="B235" s="5" t="s">
        <v>768</v>
      </c>
      <c r="C235" s="5" t="s">
        <v>769</v>
      </c>
      <c r="D235" s="6">
        <v>692765.12</v>
      </c>
      <c r="G235" s="6">
        <v>706620.42240000004</v>
      </c>
    </row>
    <row r="236" spans="1:7">
      <c r="A236" s="5" t="s">
        <v>752</v>
      </c>
      <c r="B236" s="5" t="s">
        <v>771</v>
      </c>
      <c r="C236" s="5" t="s">
        <v>772</v>
      </c>
      <c r="D236" s="6">
        <v>1003922</v>
      </c>
      <c r="G236" s="6">
        <v>1021355</v>
      </c>
    </row>
    <row r="237" spans="1:7">
      <c r="A237" s="5" t="s">
        <v>752</v>
      </c>
      <c r="B237" s="5" t="s">
        <v>774</v>
      </c>
      <c r="C237" s="5" t="s">
        <v>775</v>
      </c>
      <c r="D237" s="6">
        <v>14012641</v>
      </c>
      <c r="G237" s="6">
        <v>14616657</v>
      </c>
    </row>
    <row r="238" spans="1:7">
      <c r="A238" s="5" t="s">
        <v>752</v>
      </c>
      <c r="B238" s="5" t="s">
        <v>777</v>
      </c>
      <c r="C238" s="5" t="s">
        <v>778</v>
      </c>
      <c r="D238" s="6">
        <v>0</v>
      </c>
      <c r="G238" s="6">
        <v>0</v>
      </c>
    </row>
    <row r="239" spans="1:7">
      <c r="A239" s="5" t="s">
        <v>752</v>
      </c>
      <c r="B239" s="5" t="s">
        <v>780</v>
      </c>
      <c r="C239" s="5" t="s">
        <v>781</v>
      </c>
      <c r="D239" s="6">
        <v>2908249.92</v>
      </c>
      <c r="G239" s="6">
        <v>2966414.9183999998</v>
      </c>
    </row>
    <row r="240" spans="1:7">
      <c r="A240" s="5" t="s">
        <v>752</v>
      </c>
      <c r="B240" s="5" t="s">
        <v>783</v>
      </c>
      <c r="C240" s="5" t="s">
        <v>784</v>
      </c>
      <c r="D240" s="6">
        <v>4000090</v>
      </c>
      <c r="G240" s="6">
        <v>4007279</v>
      </c>
    </row>
    <row r="241" spans="1:7">
      <c r="A241" s="5" t="s">
        <v>752</v>
      </c>
      <c r="B241" s="5" t="s">
        <v>786</v>
      </c>
      <c r="C241" s="5" t="s">
        <v>787</v>
      </c>
      <c r="D241" s="6">
        <v>3325000</v>
      </c>
      <c r="G241" s="6">
        <v>3325000</v>
      </c>
    </row>
    <row r="242" spans="1:7">
      <c r="A242" s="5" t="s">
        <v>752</v>
      </c>
      <c r="B242" s="5" t="s">
        <v>789</v>
      </c>
      <c r="C242" s="5" t="s">
        <v>790</v>
      </c>
      <c r="D242" s="6">
        <v>6211654</v>
      </c>
      <c r="G242" s="6">
        <v>6211654</v>
      </c>
    </row>
    <row r="243" spans="1:7">
      <c r="A243" s="5" t="s">
        <v>752</v>
      </c>
      <c r="B243" s="5" t="s">
        <v>792</v>
      </c>
      <c r="C243" s="5" t="s">
        <v>793</v>
      </c>
      <c r="D243" s="6">
        <v>23810401</v>
      </c>
      <c r="G243" s="6">
        <v>23304400</v>
      </c>
    </row>
    <row r="244" spans="1:7">
      <c r="A244" s="5" t="s">
        <v>752</v>
      </c>
      <c r="B244" s="5" t="s">
        <v>795</v>
      </c>
      <c r="C244" s="5" t="s">
        <v>796</v>
      </c>
      <c r="D244" s="6">
        <v>39502854</v>
      </c>
      <c r="G244" s="6">
        <v>44688152</v>
      </c>
    </row>
    <row r="245" spans="1:7">
      <c r="A245" s="5" t="s">
        <v>752</v>
      </c>
      <c r="B245" s="5" t="s">
        <v>798</v>
      </c>
      <c r="C245" s="5" t="s">
        <v>799</v>
      </c>
      <c r="D245" s="6">
        <v>27385751.680000003</v>
      </c>
      <c r="G245" s="6">
        <v>27933466.713600002</v>
      </c>
    </row>
    <row r="246" spans="1:7">
      <c r="A246" s="5" t="s">
        <v>752</v>
      </c>
      <c r="B246" s="5" t="s">
        <v>801</v>
      </c>
      <c r="C246" s="5" t="s">
        <v>802</v>
      </c>
      <c r="D246" s="6">
        <v>2812854</v>
      </c>
      <c r="G246" s="6">
        <v>2897378</v>
      </c>
    </row>
    <row r="247" spans="1:7">
      <c r="A247" s="5" t="s">
        <v>752</v>
      </c>
      <c r="B247" s="5" t="s">
        <v>804</v>
      </c>
      <c r="C247" s="5" t="s">
        <v>805</v>
      </c>
      <c r="D247" s="6">
        <v>36525499.079999998</v>
      </c>
      <c r="G247" s="6">
        <v>37256009.0616</v>
      </c>
    </row>
    <row r="248" spans="1:7">
      <c r="A248" s="5" t="s">
        <v>752</v>
      </c>
      <c r="B248" s="5" t="s">
        <v>807</v>
      </c>
      <c r="C248" s="5" t="s">
        <v>808</v>
      </c>
      <c r="D248" s="6">
        <v>97263023.200000003</v>
      </c>
      <c r="G248" s="6">
        <v>99208283.664000005</v>
      </c>
    </row>
    <row r="249" spans="1:7">
      <c r="A249" s="5" t="s">
        <v>752</v>
      </c>
      <c r="B249" s="5" t="s">
        <v>810</v>
      </c>
      <c r="C249" s="5" t="s">
        <v>811</v>
      </c>
      <c r="D249" s="6">
        <v>15574114.66</v>
      </c>
      <c r="G249" s="6">
        <v>15885596.953200001</v>
      </c>
    </row>
    <row r="250" spans="1:7">
      <c r="A250" s="5" t="s">
        <v>752</v>
      </c>
      <c r="B250" s="5" t="s">
        <v>813</v>
      </c>
      <c r="C250" s="5" t="s">
        <v>814</v>
      </c>
      <c r="D250" s="6">
        <v>161455888</v>
      </c>
      <c r="G250" s="6">
        <v>135869369</v>
      </c>
    </row>
    <row r="251" spans="1:7">
      <c r="A251" s="5" t="s">
        <v>752</v>
      </c>
      <c r="B251" s="5" t="s">
        <v>816</v>
      </c>
      <c r="C251" s="5" t="s">
        <v>817</v>
      </c>
      <c r="D251" s="6">
        <v>169401281</v>
      </c>
      <c r="G251" s="6">
        <v>178549113</v>
      </c>
    </row>
    <row r="252" spans="1:7">
      <c r="A252" s="5" t="s">
        <v>752</v>
      </c>
      <c r="B252" s="5" t="s">
        <v>819</v>
      </c>
      <c r="C252" s="5" t="s">
        <v>820</v>
      </c>
      <c r="D252" s="6">
        <v>30831193</v>
      </c>
      <c r="G252" s="6">
        <v>31118508</v>
      </c>
    </row>
    <row r="253" spans="1:7">
      <c r="A253" s="5" t="s">
        <v>752</v>
      </c>
      <c r="B253" s="5" t="s">
        <v>822</v>
      </c>
      <c r="C253" s="5" t="s">
        <v>823</v>
      </c>
      <c r="D253" s="6">
        <v>26820295</v>
      </c>
      <c r="G253" s="6">
        <v>26798274</v>
      </c>
    </row>
    <row r="254" spans="1:7">
      <c r="A254" s="5" t="s">
        <v>752</v>
      </c>
      <c r="B254" s="5" t="s">
        <v>825</v>
      </c>
      <c r="C254" s="5" t="s">
        <v>826</v>
      </c>
      <c r="D254" s="6">
        <v>3058121408</v>
      </c>
      <c r="G254" s="6">
        <v>3160411554</v>
      </c>
    </row>
    <row r="255" spans="1:7">
      <c r="A255" s="5" t="s">
        <v>752</v>
      </c>
      <c r="B255" s="5" t="s">
        <v>828</v>
      </c>
      <c r="C255" s="5" t="s">
        <v>829</v>
      </c>
      <c r="D255" s="6">
        <v>4741062</v>
      </c>
      <c r="G255" s="6">
        <v>4732866</v>
      </c>
    </row>
    <row r="256" spans="1:7">
      <c r="A256" s="5" t="s">
        <v>752</v>
      </c>
      <c r="B256" s="5" t="s">
        <v>831</v>
      </c>
      <c r="C256" s="5" t="s">
        <v>832</v>
      </c>
      <c r="D256" s="6">
        <v>1573988</v>
      </c>
      <c r="G256" s="6">
        <v>1573986</v>
      </c>
    </row>
    <row r="257" spans="1:7">
      <c r="A257" s="5" t="s">
        <v>752</v>
      </c>
      <c r="B257" s="5" t="s">
        <v>834</v>
      </c>
      <c r="C257" s="5" t="s">
        <v>835</v>
      </c>
      <c r="D257" s="6">
        <v>217531</v>
      </c>
      <c r="G257" s="6">
        <v>217531</v>
      </c>
    </row>
    <row r="258" spans="1:7">
      <c r="A258" s="5" t="s">
        <v>752</v>
      </c>
      <c r="B258" s="5" t="s">
        <v>837</v>
      </c>
      <c r="C258" s="5" t="s">
        <v>838</v>
      </c>
      <c r="D258" s="6">
        <v>1151774</v>
      </c>
      <c r="G258" s="6">
        <v>953757</v>
      </c>
    </row>
    <row r="259" spans="1:7">
      <c r="A259" s="5" t="s">
        <v>752</v>
      </c>
      <c r="B259" s="5" t="s">
        <v>840</v>
      </c>
      <c r="C259" s="5" t="s">
        <v>841</v>
      </c>
      <c r="D259" s="6">
        <v>2440673</v>
      </c>
      <c r="G259" s="6">
        <v>2444722</v>
      </c>
    </row>
    <row r="260" spans="1:7">
      <c r="A260" s="5" t="s">
        <v>752</v>
      </c>
      <c r="B260" s="5" t="s">
        <v>843</v>
      </c>
      <c r="C260" s="5" t="s">
        <v>844</v>
      </c>
      <c r="D260" s="6">
        <v>2295087</v>
      </c>
      <c r="G260" s="6">
        <v>2171682</v>
      </c>
    </row>
    <row r="261" spans="1:7">
      <c r="A261" s="5" t="s">
        <v>752</v>
      </c>
      <c r="B261" s="5" t="s">
        <v>846</v>
      </c>
      <c r="C261" s="5" t="s">
        <v>847</v>
      </c>
      <c r="D261" s="6">
        <v>4153964</v>
      </c>
      <c r="G261" s="6">
        <v>3872279</v>
      </c>
    </row>
    <row r="262" spans="1:7">
      <c r="A262" s="5" t="s">
        <v>752</v>
      </c>
      <c r="B262" s="5" t="s">
        <v>849</v>
      </c>
      <c r="C262" s="5" t="s">
        <v>850</v>
      </c>
      <c r="D262" s="6">
        <v>69511922</v>
      </c>
      <c r="G262" s="6">
        <v>69511922</v>
      </c>
    </row>
    <row r="263" spans="1:7">
      <c r="A263" s="5" t="s">
        <v>752</v>
      </c>
      <c r="B263" s="5" t="s">
        <v>852</v>
      </c>
      <c r="C263" s="5" t="s">
        <v>853</v>
      </c>
      <c r="D263" s="6">
        <v>16152314</v>
      </c>
      <c r="G263" s="6">
        <v>16152879</v>
      </c>
    </row>
    <row r="264" spans="1:7">
      <c r="A264" s="5" t="s">
        <v>752</v>
      </c>
      <c r="B264" s="5" t="s">
        <v>855</v>
      </c>
      <c r="C264" s="5" t="s">
        <v>856</v>
      </c>
      <c r="D264" s="6">
        <v>17775586</v>
      </c>
      <c r="G264" s="6">
        <v>17096340</v>
      </c>
    </row>
    <row r="265" spans="1:7">
      <c r="A265" s="5" t="s">
        <v>752</v>
      </c>
      <c r="B265" s="5" t="s">
        <v>857</v>
      </c>
      <c r="C265" s="5" t="s">
        <v>858</v>
      </c>
      <c r="D265" s="6">
        <v>100000</v>
      </c>
      <c r="G265" s="6">
        <v>100000</v>
      </c>
    </row>
    <row r="266" spans="1:7">
      <c r="A266" s="5" t="s">
        <v>752</v>
      </c>
      <c r="B266" s="5" t="s">
        <v>861</v>
      </c>
      <c r="C266" s="5" t="s">
        <v>862</v>
      </c>
      <c r="D266" s="6">
        <v>10167662</v>
      </c>
      <c r="G266" s="6">
        <v>10163224</v>
      </c>
    </row>
    <row r="267" spans="1:7">
      <c r="A267" s="5" t="s">
        <v>752</v>
      </c>
      <c r="B267" s="5" t="s">
        <v>864</v>
      </c>
      <c r="C267" s="5" t="s">
        <v>865</v>
      </c>
      <c r="D267" s="6">
        <v>4885375</v>
      </c>
      <c r="G267" s="6">
        <v>4945981</v>
      </c>
    </row>
    <row r="268" spans="1:7">
      <c r="A268" s="5" t="s">
        <v>752</v>
      </c>
      <c r="B268" s="5" t="s">
        <v>866</v>
      </c>
      <c r="C268" s="5" t="s">
        <v>868</v>
      </c>
      <c r="D268" s="6">
        <v>7323742</v>
      </c>
      <c r="G268" s="6">
        <v>7865955</v>
      </c>
    </row>
    <row r="269" spans="1:7">
      <c r="A269" s="5" t="s">
        <v>752</v>
      </c>
      <c r="B269" s="5" t="s">
        <v>870</v>
      </c>
      <c r="C269" s="5" t="s">
        <v>871</v>
      </c>
      <c r="D269" s="6">
        <v>8104347</v>
      </c>
      <c r="G269" s="6">
        <v>8123516</v>
      </c>
    </row>
    <row r="270" spans="1:7">
      <c r="A270" s="5" t="s">
        <v>752</v>
      </c>
      <c r="B270" s="5" t="s">
        <v>873</v>
      </c>
      <c r="C270" s="5" t="s">
        <v>874</v>
      </c>
      <c r="D270" s="6">
        <v>10085088</v>
      </c>
      <c r="G270" s="6">
        <v>10340655</v>
      </c>
    </row>
    <row r="271" spans="1:7">
      <c r="A271" s="5" t="s">
        <v>752</v>
      </c>
      <c r="B271" s="5" t="s">
        <v>876</v>
      </c>
      <c r="C271" s="5" t="s">
        <v>877</v>
      </c>
      <c r="D271" s="6">
        <v>3787246</v>
      </c>
      <c r="G271" s="6">
        <v>3775181</v>
      </c>
    </row>
    <row r="272" spans="1:7">
      <c r="A272" s="5" t="s">
        <v>752</v>
      </c>
      <c r="B272" s="5" t="s">
        <v>879</v>
      </c>
      <c r="C272" s="5" t="s">
        <v>880</v>
      </c>
      <c r="D272" s="6">
        <v>1011763</v>
      </c>
      <c r="G272" s="6">
        <v>1017474</v>
      </c>
    </row>
    <row r="273" spans="1:7">
      <c r="A273" s="5" t="s">
        <v>752</v>
      </c>
      <c r="B273" s="5" t="s">
        <v>882</v>
      </c>
      <c r="C273" s="5" t="s">
        <v>883</v>
      </c>
      <c r="D273" s="6">
        <v>3704887</v>
      </c>
      <c r="G273" s="6">
        <v>4803900</v>
      </c>
    </row>
    <row r="274" spans="1:7">
      <c r="A274" s="5" t="s">
        <v>752</v>
      </c>
      <c r="B274" s="5" t="s">
        <v>886</v>
      </c>
      <c r="C274" s="5" t="s">
        <v>887</v>
      </c>
      <c r="D274" s="6">
        <v>3439399</v>
      </c>
      <c r="G274" s="6">
        <v>3500167</v>
      </c>
    </row>
    <row r="275" spans="1:7">
      <c r="A275" s="5" t="s">
        <v>752</v>
      </c>
      <c r="B275" s="5" t="s">
        <v>889</v>
      </c>
      <c r="C275" s="5" t="s">
        <v>890</v>
      </c>
      <c r="D275" s="6">
        <v>0</v>
      </c>
      <c r="G275" s="6">
        <v>0</v>
      </c>
    </row>
    <row r="276" spans="1:7">
      <c r="A276" s="5" t="s">
        <v>752</v>
      </c>
      <c r="B276" s="5" t="s">
        <v>892</v>
      </c>
      <c r="C276" s="5" t="s">
        <v>894</v>
      </c>
      <c r="D276" s="6">
        <v>1406900</v>
      </c>
      <c r="G276" s="6">
        <v>1048232</v>
      </c>
    </row>
    <row r="277" spans="1:7">
      <c r="A277" s="5" t="s">
        <v>752</v>
      </c>
      <c r="B277" s="5" t="s">
        <v>895</v>
      </c>
      <c r="C277" s="5" t="s">
        <v>896</v>
      </c>
      <c r="D277" s="6">
        <v>33503881</v>
      </c>
      <c r="G277" s="6">
        <v>32982274</v>
      </c>
    </row>
    <row r="278" spans="1:7">
      <c r="A278" s="5" t="s">
        <v>752</v>
      </c>
      <c r="B278" s="5" t="s">
        <v>898</v>
      </c>
      <c r="C278" s="5" t="s">
        <v>899</v>
      </c>
      <c r="D278" s="6">
        <v>14197939</v>
      </c>
      <c r="G278" s="6">
        <v>14459528</v>
      </c>
    </row>
    <row r="279" spans="1:7">
      <c r="A279" s="5" t="s">
        <v>752</v>
      </c>
      <c r="B279" s="5" t="s">
        <v>901</v>
      </c>
      <c r="C279" s="5" t="s">
        <v>902</v>
      </c>
      <c r="D279" s="6">
        <v>34117226</v>
      </c>
      <c r="G279" s="6">
        <v>34990869</v>
      </c>
    </row>
    <row r="280" spans="1:7">
      <c r="A280" s="5" t="s">
        <v>752</v>
      </c>
      <c r="B280" s="5" t="s">
        <v>904</v>
      </c>
      <c r="C280" s="5" t="s">
        <v>905</v>
      </c>
      <c r="D280" s="6">
        <v>93841738</v>
      </c>
      <c r="G280" s="6">
        <v>97010807</v>
      </c>
    </row>
    <row r="281" spans="1:7">
      <c r="A281" s="5" t="s">
        <v>752</v>
      </c>
      <c r="B281" s="5" t="s">
        <v>907</v>
      </c>
      <c r="C281" s="5" t="s">
        <v>908</v>
      </c>
      <c r="D281" s="6">
        <v>11245072</v>
      </c>
      <c r="G281" s="6">
        <v>11175323</v>
      </c>
    </row>
    <row r="282" spans="1:7">
      <c r="A282" s="5" t="s">
        <v>752</v>
      </c>
      <c r="B282" s="5" t="s">
        <v>910</v>
      </c>
      <c r="C282" s="5" t="s">
        <v>911</v>
      </c>
      <c r="D282" s="6">
        <v>46813650</v>
      </c>
      <c r="G282" s="6">
        <v>44855436</v>
      </c>
    </row>
    <row r="283" spans="1:7">
      <c r="A283" s="5" t="s">
        <v>752</v>
      </c>
      <c r="B283" s="5" t="s">
        <v>913</v>
      </c>
      <c r="C283" s="5" t="s">
        <v>914</v>
      </c>
      <c r="D283" s="6">
        <v>53674641</v>
      </c>
      <c r="G283" s="6">
        <v>54057035</v>
      </c>
    </row>
    <row r="284" spans="1:7">
      <c r="A284" s="5" t="s">
        <v>752</v>
      </c>
      <c r="B284" s="5" t="s">
        <v>916</v>
      </c>
      <c r="C284" s="5" t="s">
        <v>917</v>
      </c>
      <c r="D284" s="6">
        <v>9172400.1600000001</v>
      </c>
      <c r="G284" s="6">
        <v>9355848.1632000003</v>
      </c>
    </row>
    <row r="285" spans="1:7">
      <c r="A285" s="5" t="s">
        <v>752</v>
      </c>
      <c r="B285" s="5" t="s">
        <v>919</v>
      </c>
      <c r="C285" s="5" t="s">
        <v>920</v>
      </c>
      <c r="D285" s="6">
        <v>108448059.36</v>
      </c>
      <c r="G285" s="6">
        <v>113325179.18720001</v>
      </c>
    </row>
    <row r="286" spans="1:7">
      <c r="A286" s="5" t="s">
        <v>752</v>
      </c>
      <c r="B286" s="5" t="s">
        <v>922</v>
      </c>
      <c r="C286" s="5" t="s">
        <v>923</v>
      </c>
      <c r="D286" s="6">
        <v>17839045</v>
      </c>
      <c r="G286" s="6">
        <v>18095547</v>
      </c>
    </row>
    <row r="287" spans="1:7">
      <c r="A287" s="5" t="s">
        <v>752</v>
      </c>
      <c r="B287" s="5" t="s">
        <v>925</v>
      </c>
      <c r="C287" s="5" t="s">
        <v>926</v>
      </c>
      <c r="D287" s="6">
        <v>25925350</v>
      </c>
      <c r="G287" s="6">
        <v>27247823</v>
      </c>
    </row>
    <row r="288" spans="1:7">
      <c r="A288" s="5" t="s">
        <v>752</v>
      </c>
      <c r="B288" s="5" t="s">
        <v>928</v>
      </c>
      <c r="C288" s="5" t="s">
        <v>929</v>
      </c>
      <c r="D288" s="6">
        <v>37995287</v>
      </c>
      <c r="G288" s="6">
        <v>39043043</v>
      </c>
    </row>
    <row r="289" spans="1:7">
      <c r="A289" s="5" t="s">
        <v>752</v>
      </c>
      <c r="B289" s="5" t="s">
        <v>931</v>
      </c>
      <c r="C289" s="5" t="s">
        <v>932</v>
      </c>
      <c r="D289" s="6">
        <v>0</v>
      </c>
      <c r="G289" s="6">
        <v>0</v>
      </c>
    </row>
    <row r="290" spans="1:7">
      <c r="A290" s="5" t="s">
        <v>752</v>
      </c>
      <c r="B290" s="5" t="s">
        <v>934</v>
      </c>
      <c r="C290" s="5" t="s">
        <v>935</v>
      </c>
      <c r="D290" s="6">
        <v>19602294</v>
      </c>
      <c r="G290" s="6">
        <v>19699274</v>
      </c>
    </row>
    <row r="291" spans="1:7">
      <c r="A291" s="5" t="s">
        <v>752</v>
      </c>
      <c r="B291" s="5" t="s">
        <v>937</v>
      </c>
      <c r="C291" s="5" t="s">
        <v>938</v>
      </c>
      <c r="D291" s="6">
        <v>3297177</v>
      </c>
      <c r="G291" s="6">
        <v>3205742</v>
      </c>
    </row>
    <row r="292" spans="1:7">
      <c r="A292" s="5" t="s">
        <v>752</v>
      </c>
      <c r="B292" s="5" t="s">
        <v>940</v>
      </c>
      <c r="C292" s="5" t="s">
        <v>941</v>
      </c>
      <c r="D292" s="6">
        <v>6094218</v>
      </c>
      <c r="G292" s="6">
        <v>6238479</v>
      </c>
    </row>
    <row r="293" spans="1:7">
      <c r="A293" s="5" t="s">
        <v>752</v>
      </c>
      <c r="B293" s="5" t="s">
        <v>942</v>
      </c>
      <c r="C293" s="5" t="s">
        <v>944</v>
      </c>
      <c r="D293" s="6">
        <v>30107269</v>
      </c>
      <c r="G293" s="6">
        <v>32229334</v>
      </c>
    </row>
    <row r="294" spans="1:7">
      <c r="A294" s="5" t="s">
        <v>752</v>
      </c>
      <c r="B294" s="5" t="s">
        <v>946</v>
      </c>
      <c r="C294" s="5" t="s">
        <v>947</v>
      </c>
      <c r="D294" s="6">
        <v>91428269</v>
      </c>
      <c r="G294" s="6">
        <v>95621789</v>
      </c>
    </row>
    <row r="295" spans="1:7">
      <c r="A295" s="5" t="s">
        <v>752</v>
      </c>
      <c r="B295" s="5" t="s">
        <v>949</v>
      </c>
      <c r="C295" s="5" t="s">
        <v>950</v>
      </c>
      <c r="D295" s="6">
        <v>19171818.440000001</v>
      </c>
      <c r="G295" s="6">
        <v>19500906.788800001</v>
      </c>
    </row>
    <row r="296" spans="1:7">
      <c r="A296" s="5" t="s">
        <v>752</v>
      </c>
      <c r="B296" s="5" t="s">
        <v>952</v>
      </c>
      <c r="C296" s="5" t="s">
        <v>953</v>
      </c>
      <c r="D296" s="6">
        <v>311614</v>
      </c>
      <c r="G296" s="6">
        <v>311614</v>
      </c>
    </row>
    <row r="297" spans="1:7">
      <c r="A297" s="5" t="s">
        <v>752</v>
      </c>
      <c r="B297" s="5" t="s">
        <v>955</v>
      </c>
      <c r="C297" s="5" t="s">
        <v>956</v>
      </c>
      <c r="D297" s="6">
        <v>1910368</v>
      </c>
      <c r="G297" s="6">
        <v>1771543</v>
      </c>
    </row>
    <row r="298" spans="1:7">
      <c r="A298" s="5" t="s">
        <v>752</v>
      </c>
      <c r="B298" s="5" t="s">
        <v>958</v>
      </c>
      <c r="C298" s="5" t="s">
        <v>959</v>
      </c>
      <c r="D298" s="6">
        <v>294404.40000000002</v>
      </c>
      <c r="G298" s="6">
        <v>300292.48800000001</v>
      </c>
    </row>
    <row r="299" spans="1:7">
      <c r="A299" s="5" t="s">
        <v>752</v>
      </c>
      <c r="B299" s="5" t="s">
        <v>961</v>
      </c>
      <c r="C299" s="5" t="s">
        <v>962</v>
      </c>
      <c r="D299" s="6">
        <v>3816193</v>
      </c>
      <c r="G299" s="6">
        <v>3686949</v>
      </c>
    </row>
    <row r="300" spans="1:7">
      <c r="A300" s="5" t="s">
        <v>752</v>
      </c>
      <c r="B300" s="5" t="s">
        <v>964</v>
      </c>
      <c r="C300" s="5" t="s">
        <v>965</v>
      </c>
      <c r="D300" s="6">
        <v>4191465</v>
      </c>
      <c r="G300" s="6">
        <v>4191465</v>
      </c>
    </row>
    <row r="301" spans="1:7">
      <c r="A301" s="5" t="s">
        <v>752</v>
      </c>
      <c r="B301" s="5" t="s">
        <v>967</v>
      </c>
      <c r="C301" s="5" t="s">
        <v>968</v>
      </c>
      <c r="D301" s="6">
        <v>5841599</v>
      </c>
      <c r="G301" s="6">
        <v>5817557</v>
      </c>
    </row>
    <row r="302" spans="1:7">
      <c r="A302" s="5" t="s">
        <v>752</v>
      </c>
      <c r="B302" s="5" t="s">
        <v>970</v>
      </c>
      <c r="C302" s="5" t="s">
        <v>971</v>
      </c>
      <c r="D302" s="6">
        <v>8390197.6799999997</v>
      </c>
      <c r="G302" s="6">
        <v>8558001.6336000003</v>
      </c>
    </row>
    <row r="303" spans="1:7">
      <c r="A303" s="5" t="s">
        <v>752</v>
      </c>
      <c r="B303" s="5" t="s">
        <v>973</v>
      </c>
      <c r="C303" s="5" t="s">
        <v>974</v>
      </c>
      <c r="D303" s="6">
        <v>7391747.2199999997</v>
      </c>
      <c r="G303" s="6">
        <v>7539582.1644000001</v>
      </c>
    </row>
    <row r="304" spans="1:7">
      <c r="A304" s="5" t="s">
        <v>752</v>
      </c>
      <c r="B304" s="5" t="s">
        <v>976</v>
      </c>
      <c r="C304" s="5" t="s">
        <v>977</v>
      </c>
      <c r="D304" s="6">
        <v>5836522.1800000006</v>
      </c>
      <c r="G304" s="6">
        <v>5953252.6236000005</v>
      </c>
    </row>
    <row r="305" spans="1:7">
      <c r="A305" s="5" t="s">
        <v>752</v>
      </c>
      <c r="B305" s="5" t="s">
        <v>979</v>
      </c>
      <c r="C305" s="5" t="s">
        <v>980</v>
      </c>
      <c r="D305" s="6">
        <v>8010291.7400000002</v>
      </c>
      <c r="G305" s="6">
        <v>8170497.5748000005</v>
      </c>
    </row>
    <row r="306" spans="1:7">
      <c r="A306" s="5" t="s">
        <v>752</v>
      </c>
      <c r="B306" s="5" t="s">
        <v>982</v>
      </c>
      <c r="C306" s="5" t="s">
        <v>983</v>
      </c>
      <c r="D306" s="6">
        <v>25694640.620000001</v>
      </c>
      <c r="E306" s="6">
        <f>SUM(D230:D306)</f>
        <v>4656303957.5199995</v>
      </c>
      <c r="F306" s="6">
        <f>SUM(G230:G306)</f>
        <v>4769202305.8504</v>
      </c>
      <c r="G306" s="6">
        <v>26208533.432400003</v>
      </c>
    </row>
    <row r="307" spans="1:7">
      <c r="A307" s="5" t="s">
        <v>985</v>
      </c>
      <c r="B307" s="5" t="s">
        <v>986</v>
      </c>
      <c r="C307" s="5" t="s">
        <v>987</v>
      </c>
      <c r="D307" s="6">
        <v>1399645</v>
      </c>
      <c r="G307" s="6">
        <v>1418921</v>
      </c>
    </row>
    <row r="308" spans="1:7">
      <c r="A308" s="5" t="s">
        <v>985</v>
      </c>
      <c r="B308" s="5" t="s">
        <v>989</v>
      </c>
      <c r="C308" s="5" t="s">
        <v>990</v>
      </c>
      <c r="D308" s="6">
        <v>18076059</v>
      </c>
      <c r="G308" s="6">
        <v>18317374</v>
      </c>
    </row>
    <row r="309" spans="1:7">
      <c r="A309" s="5" t="s">
        <v>985</v>
      </c>
      <c r="B309" s="5" t="s">
        <v>992</v>
      </c>
      <c r="C309" s="5" t="s">
        <v>993</v>
      </c>
      <c r="D309" s="6">
        <v>17719372.34</v>
      </c>
      <c r="G309" s="6">
        <v>18011747</v>
      </c>
    </row>
    <row r="310" spans="1:7">
      <c r="A310" s="5" t="s">
        <v>985</v>
      </c>
      <c r="B310" s="5" t="s">
        <v>995</v>
      </c>
      <c r="C310" s="5" t="s">
        <v>996</v>
      </c>
      <c r="D310" s="6">
        <v>4181725</v>
      </c>
      <c r="G310" s="6">
        <v>4240391</v>
      </c>
    </row>
    <row r="311" spans="1:7">
      <c r="A311" s="5" t="s">
        <v>985</v>
      </c>
      <c r="B311" s="5" t="s">
        <v>998</v>
      </c>
      <c r="C311" s="5" t="s">
        <v>999</v>
      </c>
      <c r="D311" s="6">
        <v>5622218</v>
      </c>
      <c r="G311" s="6">
        <v>5462483</v>
      </c>
    </row>
    <row r="312" spans="1:7">
      <c r="A312" s="5" t="s">
        <v>985</v>
      </c>
      <c r="B312" s="5" t="s">
        <v>1001</v>
      </c>
      <c r="C312" s="5" t="s">
        <v>1002</v>
      </c>
      <c r="D312" s="6">
        <v>88398825</v>
      </c>
      <c r="G312" s="6">
        <v>86013854</v>
      </c>
    </row>
    <row r="313" spans="1:7">
      <c r="A313" s="5" t="s">
        <v>985</v>
      </c>
      <c r="B313" s="5" t="s">
        <v>1004</v>
      </c>
      <c r="C313" s="5" t="s">
        <v>1005</v>
      </c>
      <c r="D313" s="6">
        <v>3063239</v>
      </c>
      <c r="G313" s="6">
        <v>2040327</v>
      </c>
    </row>
    <row r="314" spans="1:7">
      <c r="A314" s="5" t="s">
        <v>985</v>
      </c>
      <c r="B314" s="5" t="s">
        <v>1007</v>
      </c>
      <c r="C314" s="5" t="s">
        <v>1008</v>
      </c>
      <c r="D314" s="6">
        <v>1189476.76</v>
      </c>
      <c r="G314" s="6">
        <v>1204793.4352000002</v>
      </c>
    </row>
    <row r="315" spans="1:7">
      <c r="A315" s="5" t="s">
        <v>985</v>
      </c>
      <c r="B315" s="5" t="s">
        <v>1010</v>
      </c>
      <c r="C315" s="5" t="s">
        <v>1011</v>
      </c>
      <c r="D315" s="6">
        <v>5783454</v>
      </c>
      <c r="G315" s="6">
        <v>5651952</v>
      </c>
    </row>
    <row r="316" spans="1:7">
      <c r="A316" s="5" t="s">
        <v>985</v>
      </c>
      <c r="B316" s="5" t="s">
        <v>1013</v>
      </c>
      <c r="C316" s="5" t="s">
        <v>1015</v>
      </c>
      <c r="D316" s="6">
        <v>11772071</v>
      </c>
      <c r="G316" s="6">
        <v>12103268</v>
      </c>
    </row>
    <row r="317" spans="1:7">
      <c r="A317" s="5" t="s">
        <v>985</v>
      </c>
      <c r="B317" s="5" t="s">
        <v>1016</v>
      </c>
      <c r="C317" s="5" t="s">
        <v>1017</v>
      </c>
      <c r="D317" s="6">
        <v>3145867</v>
      </c>
      <c r="G317" s="6">
        <v>3171862</v>
      </c>
    </row>
    <row r="318" spans="1:7">
      <c r="A318" s="5" t="s">
        <v>985</v>
      </c>
      <c r="B318" s="5" t="s">
        <v>1019</v>
      </c>
      <c r="C318" s="5" t="s">
        <v>1020</v>
      </c>
      <c r="D318" s="6">
        <v>0</v>
      </c>
      <c r="E318" s="6">
        <f>SUM(D307:D318)</f>
        <v>160351952.09999999</v>
      </c>
      <c r="F318" s="6">
        <f>SUM(G307:G318)</f>
        <v>157636972.43520001</v>
      </c>
      <c r="G318" s="6">
        <v>0</v>
      </c>
    </row>
    <row r="319" spans="1:7">
      <c r="A319" s="5" t="s">
        <v>1024</v>
      </c>
      <c r="B319" s="5" t="s">
        <v>1022</v>
      </c>
      <c r="C319" s="5" t="s">
        <v>1023</v>
      </c>
      <c r="D319" s="6">
        <v>2390338</v>
      </c>
      <c r="E319" s="6">
        <f>D319</f>
        <v>2390338</v>
      </c>
      <c r="F319" s="6">
        <f>G319</f>
        <v>2408628</v>
      </c>
      <c r="G319" s="6">
        <v>2408628</v>
      </c>
    </row>
    <row r="320" spans="1:7">
      <c r="A320" s="5" t="s">
        <v>1026</v>
      </c>
      <c r="B320" s="5" t="s">
        <v>1027</v>
      </c>
      <c r="C320" s="5" t="s">
        <v>1028</v>
      </c>
      <c r="D320" s="6">
        <v>20640652.84</v>
      </c>
      <c r="G320" s="6">
        <v>21053465.8968</v>
      </c>
    </row>
    <row r="321" spans="1:7">
      <c r="A321" s="5" t="s">
        <v>1026</v>
      </c>
      <c r="B321" s="5" t="s">
        <v>1030</v>
      </c>
      <c r="C321" s="5" t="s">
        <v>1031</v>
      </c>
      <c r="D321" s="6">
        <v>42534179</v>
      </c>
      <c r="G321" s="6">
        <v>43075508</v>
      </c>
    </row>
    <row r="322" spans="1:7">
      <c r="A322" s="5" t="s">
        <v>1026</v>
      </c>
      <c r="B322" s="5" t="s">
        <v>1033</v>
      </c>
      <c r="C322" s="5" t="s">
        <v>1034</v>
      </c>
      <c r="D322" s="6">
        <v>7946796</v>
      </c>
      <c r="G322" s="6">
        <v>7971188</v>
      </c>
    </row>
    <row r="323" spans="1:7">
      <c r="A323" s="5" t="s">
        <v>1026</v>
      </c>
      <c r="B323" s="5" t="s">
        <v>1036</v>
      </c>
      <c r="C323" s="5" t="s">
        <v>1037</v>
      </c>
      <c r="D323" s="6">
        <v>26278431</v>
      </c>
      <c r="G323" s="6">
        <v>26803999.620000001</v>
      </c>
    </row>
    <row r="324" spans="1:7">
      <c r="A324" s="5" t="s">
        <v>1026</v>
      </c>
      <c r="B324" s="5" t="s">
        <v>1039</v>
      </c>
      <c r="C324" s="5" t="s">
        <v>1040</v>
      </c>
      <c r="D324" s="6">
        <v>47958973</v>
      </c>
      <c r="G324" s="6">
        <v>48918152.460000001</v>
      </c>
    </row>
    <row r="325" spans="1:7">
      <c r="A325" s="5" t="s">
        <v>1026</v>
      </c>
      <c r="B325" s="5" t="s">
        <v>1042</v>
      </c>
      <c r="C325" s="5" t="s">
        <v>1043</v>
      </c>
      <c r="D325" s="6">
        <v>27061291</v>
      </c>
      <c r="G325" s="6">
        <v>27602516.82</v>
      </c>
    </row>
    <row r="326" spans="1:7">
      <c r="A326" s="5" t="s">
        <v>1026</v>
      </c>
      <c r="B326" s="5" t="s">
        <v>1045</v>
      </c>
      <c r="C326" s="5" t="s">
        <v>1046</v>
      </c>
      <c r="D326" s="6">
        <v>82200</v>
      </c>
      <c r="G326" s="6">
        <v>90261</v>
      </c>
    </row>
    <row r="327" spans="1:7">
      <c r="A327" s="5" t="s">
        <v>1026</v>
      </c>
      <c r="B327" s="5" t="s">
        <v>1048</v>
      </c>
      <c r="C327" s="5" t="s">
        <v>1049</v>
      </c>
      <c r="D327" s="6">
        <v>22978105</v>
      </c>
      <c r="G327" s="6">
        <v>23437667.100000001</v>
      </c>
    </row>
    <row r="328" spans="1:7">
      <c r="A328" s="5" t="s">
        <v>1026</v>
      </c>
      <c r="B328" s="5" t="s">
        <v>1051</v>
      </c>
      <c r="C328" s="5" t="s">
        <v>1052</v>
      </c>
      <c r="D328" s="6">
        <v>23311460</v>
      </c>
      <c r="G328" s="6">
        <v>23777689.199999999</v>
      </c>
    </row>
    <row r="329" spans="1:7">
      <c r="A329" s="5" t="s">
        <v>1026</v>
      </c>
      <c r="B329" s="5" t="s">
        <v>1054</v>
      </c>
      <c r="C329" s="5" t="s">
        <v>1055</v>
      </c>
      <c r="D329" s="6">
        <v>241442</v>
      </c>
      <c r="G329" s="6">
        <v>241362</v>
      </c>
    </row>
    <row r="330" spans="1:7">
      <c r="A330" s="5" t="s">
        <v>1026</v>
      </c>
      <c r="B330" s="5" t="s">
        <v>1057</v>
      </c>
      <c r="C330" s="5" t="s">
        <v>1058</v>
      </c>
      <c r="D330" s="6">
        <v>10066857.1</v>
      </c>
      <c r="G330" s="6">
        <v>10268194.242000001</v>
      </c>
    </row>
    <row r="331" spans="1:7">
      <c r="A331" s="5" t="s">
        <v>1026</v>
      </c>
      <c r="B331" s="5" t="s">
        <v>1060</v>
      </c>
      <c r="C331" s="5" t="s">
        <v>1061</v>
      </c>
      <c r="D331" s="6">
        <v>14399437</v>
      </c>
      <c r="G331" s="6">
        <v>13329123</v>
      </c>
    </row>
    <row r="332" spans="1:7">
      <c r="A332" s="5" t="s">
        <v>1026</v>
      </c>
      <c r="B332" s="5" t="s">
        <v>1063</v>
      </c>
      <c r="C332" s="5" t="s">
        <v>1064</v>
      </c>
      <c r="D332" s="6">
        <v>4142281.7800000003</v>
      </c>
      <c r="G332" s="6">
        <v>4225127.4155999999</v>
      </c>
    </row>
    <row r="333" spans="1:7">
      <c r="A333" s="5" t="s">
        <v>1026</v>
      </c>
      <c r="B333" s="5" t="s">
        <v>1066</v>
      </c>
      <c r="C333" s="5" t="s">
        <v>1067</v>
      </c>
      <c r="D333" s="6">
        <v>1156578</v>
      </c>
      <c r="G333" s="6">
        <v>1171901</v>
      </c>
    </row>
    <row r="334" spans="1:7">
      <c r="A334" s="5" t="s">
        <v>1026</v>
      </c>
      <c r="B334" s="5" t="s">
        <v>1069</v>
      </c>
      <c r="C334" s="5" t="s">
        <v>1070</v>
      </c>
      <c r="D334" s="6">
        <v>1749418</v>
      </c>
      <c r="G334" s="6">
        <v>1747848</v>
      </c>
    </row>
    <row r="335" spans="1:7">
      <c r="A335" s="5" t="s">
        <v>1026</v>
      </c>
      <c r="B335" s="5" t="s">
        <v>1072</v>
      </c>
      <c r="C335" s="5" t="s">
        <v>1073</v>
      </c>
      <c r="D335" s="6">
        <v>1650853.54</v>
      </c>
      <c r="G335" s="6">
        <v>1683870.6108000001</v>
      </c>
    </row>
    <row r="336" spans="1:7">
      <c r="A336" s="5" t="s">
        <v>1026</v>
      </c>
      <c r="B336" s="5" t="s">
        <v>1075</v>
      </c>
      <c r="C336" s="5" t="s">
        <v>1076</v>
      </c>
      <c r="D336" s="6">
        <v>2451700</v>
      </c>
      <c r="G336" s="6">
        <v>2500734</v>
      </c>
    </row>
    <row r="337" spans="1:7">
      <c r="A337" s="5" t="s">
        <v>1026</v>
      </c>
      <c r="B337" s="5" t="s">
        <v>1087</v>
      </c>
      <c r="C337" s="5" t="s">
        <v>1088</v>
      </c>
      <c r="D337" s="6">
        <v>1265360</v>
      </c>
      <c r="G337" s="6">
        <v>1291065</v>
      </c>
    </row>
    <row r="338" spans="1:7">
      <c r="A338" s="5" t="s">
        <v>1026</v>
      </c>
      <c r="B338" s="5" t="s">
        <v>1089</v>
      </c>
      <c r="C338" s="5" t="s">
        <v>1092</v>
      </c>
      <c r="D338" s="6">
        <v>1262528</v>
      </c>
      <c r="G338" s="6">
        <v>1317731</v>
      </c>
    </row>
    <row r="339" spans="1:7">
      <c r="A339" s="5" t="s">
        <v>1026</v>
      </c>
      <c r="B339" s="5" t="s">
        <v>1093</v>
      </c>
      <c r="C339" s="5" t="s">
        <v>1094</v>
      </c>
      <c r="D339" s="6">
        <v>1314828</v>
      </c>
      <c r="G339" s="6">
        <v>1337698</v>
      </c>
    </row>
    <row r="340" spans="1:7">
      <c r="A340" s="5" t="s">
        <v>1026</v>
      </c>
      <c r="B340" s="5" t="s">
        <v>1096</v>
      </c>
      <c r="C340" s="5" t="s">
        <v>1098</v>
      </c>
      <c r="D340" s="6">
        <v>1521344</v>
      </c>
      <c r="G340" s="6">
        <v>1551938</v>
      </c>
    </row>
    <row r="341" spans="1:7">
      <c r="A341" s="5" t="s">
        <v>1026</v>
      </c>
      <c r="B341" s="5" t="s">
        <v>1099</v>
      </c>
      <c r="C341" s="5" t="s">
        <v>1100</v>
      </c>
      <c r="D341" s="6">
        <v>3873</v>
      </c>
      <c r="G341" s="6">
        <v>3220</v>
      </c>
    </row>
    <row r="342" spans="1:7">
      <c r="A342" s="5" t="s">
        <v>1026</v>
      </c>
      <c r="B342" s="5" t="s">
        <v>1102</v>
      </c>
      <c r="C342" s="5" t="s">
        <v>1103</v>
      </c>
      <c r="D342" s="6">
        <v>1182230</v>
      </c>
      <c r="G342" s="6">
        <v>1246157</v>
      </c>
    </row>
    <row r="343" spans="1:7">
      <c r="A343" s="5" t="s">
        <v>1026</v>
      </c>
      <c r="B343" s="5" t="s">
        <v>1105</v>
      </c>
      <c r="C343" s="5" t="s">
        <v>1106</v>
      </c>
      <c r="D343" s="6">
        <v>1242085.74</v>
      </c>
      <c r="G343" s="6">
        <v>1266927.4547999999</v>
      </c>
    </row>
    <row r="344" spans="1:7">
      <c r="A344" s="5" t="s">
        <v>1026</v>
      </c>
      <c r="B344" s="5" t="s">
        <v>1108</v>
      </c>
      <c r="C344" s="5" t="s">
        <v>1109</v>
      </c>
      <c r="D344" s="6">
        <v>19868073</v>
      </c>
      <c r="G344" s="6">
        <v>21874634</v>
      </c>
    </row>
    <row r="345" spans="1:7">
      <c r="A345" s="5" t="s">
        <v>1026</v>
      </c>
      <c r="B345" s="5" t="s">
        <v>1111</v>
      </c>
      <c r="C345" s="5" t="s">
        <v>1112</v>
      </c>
      <c r="D345" s="6">
        <v>3563297</v>
      </c>
      <c r="G345" s="6">
        <v>3590130</v>
      </c>
    </row>
    <row r="346" spans="1:7">
      <c r="A346" s="5" t="s">
        <v>1026</v>
      </c>
      <c r="B346" s="5" t="s">
        <v>1114</v>
      </c>
      <c r="C346" s="5" t="s">
        <v>1115</v>
      </c>
      <c r="D346" s="6">
        <v>5857643</v>
      </c>
      <c r="G346" s="6">
        <v>5883327</v>
      </c>
    </row>
    <row r="347" spans="1:7">
      <c r="A347" s="5" t="s">
        <v>1026</v>
      </c>
      <c r="B347" s="5" t="s">
        <v>1117</v>
      </c>
      <c r="C347" s="5" t="s">
        <v>1118</v>
      </c>
      <c r="D347" s="6">
        <v>3540434</v>
      </c>
      <c r="E347" s="6">
        <f>SUM(D320:D347)</f>
        <v>295272351</v>
      </c>
      <c r="F347" s="6">
        <f>SUM(G320:G347)</f>
        <v>300956879.81999999</v>
      </c>
      <c r="G347" s="6">
        <v>3695444</v>
      </c>
    </row>
    <row r="348" spans="1:7">
      <c r="A348" s="5" t="s">
        <v>1120</v>
      </c>
      <c r="B348" s="5" t="s">
        <v>1121</v>
      </c>
      <c r="C348" s="5" t="s">
        <v>1122</v>
      </c>
      <c r="D348" s="6">
        <v>27489684</v>
      </c>
      <c r="G348" s="6">
        <v>22846929</v>
      </c>
    </row>
    <row r="349" spans="1:7">
      <c r="A349" s="5" t="s">
        <v>1120</v>
      </c>
      <c r="B349" s="5" t="s">
        <v>1124</v>
      </c>
      <c r="C349" s="5" t="s">
        <v>1125</v>
      </c>
      <c r="D349" s="6">
        <v>4874980</v>
      </c>
      <c r="G349" s="6">
        <v>5147605</v>
      </c>
    </row>
    <row r="350" spans="1:7">
      <c r="A350" s="5" t="s">
        <v>1120</v>
      </c>
      <c r="B350" s="5" t="s">
        <v>1127</v>
      </c>
      <c r="C350" s="5" t="s">
        <v>1128</v>
      </c>
      <c r="D350" s="6">
        <v>0</v>
      </c>
      <c r="G350" s="6">
        <v>0</v>
      </c>
    </row>
    <row r="351" spans="1:7">
      <c r="A351" s="5" t="s">
        <v>1120</v>
      </c>
      <c r="B351" s="5" t="s">
        <v>1130</v>
      </c>
      <c r="C351" s="5" t="s">
        <v>1131</v>
      </c>
      <c r="D351" s="6">
        <v>1224724</v>
      </c>
      <c r="G351" s="6">
        <v>1219272</v>
      </c>
    </row>
    <row r="352" spans="1:7">
      <c r="A352" s="5" t="s">
        <v>1120</v>
      </c>
      <c r="B352" s="5" t="s">
        <v>1133</v>
      </c>
      <c r="C352" s="5" t="s">
        <v>1134</v>
      </c>
      <c r="D352" s="6">
        <v>10239015</v>
      </c>
      <c r="G352" s="6">
        <v>9597434</v>
      </c>
    </row>
    <row r="353" spans="1:7">
      <c r="A353" s="5" t="s">
        <v>1120</v>
      </c>
      <c r="B353" s="5" t="s">
        <v>1136</v>
      </c>
      <c r="C353" s="5" t="s">
        <v>1137</v>
      </c>
      <c r="D353" s="6">
        <v>14868191</v>
      </c>
      <c r="G353" s="6">
        <v>15813015</v>
      </c>
    </row>
    <row r="354" spans="1:7">
      <c r="A354" s="5" t="s">
        <v>1120</v>
      </c>
      <c r="B354" s="5" t="s">
        <v>1139</v>
      </c>
      <c r="C354" s="5" t="s">
        <v>1140</v>
      </c>
      <c r="D354" s="6">
        <v>4747615.9800000004</v>
      </c>
      <c r="G354" s="6">
        <v>4842568.2996000005</v>
      </c>
    </row>
    <row r="355" spans="1:7">
      <c r="A355" s="5" t="s">
        <v>1120</v>
      </c>
      <c r="B355" s="5" t="s">
        <v>1142</v>
      </c>
      <c r="C355" s="5" t="s">
        <v>1143</v>
      </c>
      <c r="D355" s="6">
        <v>11034306</v>
      </c>
      <c r="G355" s="6">
        <v>10737300</v>
      </c>
    </row>
    <row r="356" spans="1:7">
      <c r="A356" s="5" t="s">
        <v>1120</v>
      </c>
      <c r="B356" s="5" t="s">
        <v>1145</v>
      </c>
      <c r="C356" s="5" t="s">
        <v>1146</v>
      </c>
      <c r="D356" s="6">
        <v>10959402</v>
      </c>
      <c r="G356" s="6">
        <v>11158194</v>
      </c>
    </row>
    <row r="357" spans="1:7">
      <c r="A357" s="5" t="s">
        <v>1120</v>
      </c>
      <c r="B357" s="5" t="s">
        <v>1148</v>
      </c>
      <c r="C357" s="5" t="s">
        <v>1149</v>
      </c>
      <c r="D357" s="6">
        <v>5347426</v>
      </c>
      <c r="G357" s="6">
        <v>8452242</v>
      </c>
    </row>
    <row r="358" spans="1:7">
      <c r="A358" s="5" t="s">
        <v>1120</v>
      </c>
      <c r="B358" s="5" t="s">
        <v>1151</v>
      </c>
      <c r="C358" s="5" t="s">
        <v>1152</v>
      </c>
      <c r="D358" s="6">
        <v>9874847</v>
      </c>
      <c r="G358" s="6">
        <v>9644226</v>
      </c>
    </row>
    <row r="359" spans="1:7">
      <c r="A359" s="5" t="s">
        <v>1120</v>
      </c>
      <c r="B359" s="5" t="s">
        <v>1154</v>
      </c>
      <c r="C359" s="5" t="s">
        <v>1155</v>
      </c>
      <c r="D359" s="6">
        <v>8067635</v>
      </c>
      <c r="G359" s="6">
        <v>8067635</v>
      </c>
    </row>
    <row r="360" spans="1:7">
      <c r="A360" s="5" t="s">
        <v>1120</v>
      </c>
      <c r="B360" s="5" t="s">
        <v>1157</v>
      </c>
      <c r="C360" s="5" t="s">
        <v>1158</v>
      </c>
      <c r="D360" s="6">
        <v>44333367.920000002</v>
      </c>
      <c r="G360" s="6">
        <v>45220035.278400004</v>
      </c>
    </row>
    <row r="361" spans="1:7">
      <c r="A361" s="5" t="s">
        <v>1120</v>
      </c>
      <c r="B361" s="5" t="s">
        <v>1160</v>
      </c>
      <c r="C361" s="5" t="s">
        <v>1161</v>
      </c>
      <c r="D361" s="6">
        <v>4021245.68</v>
      </c>
      <c r="G361" s="6">
        <v>4101670.5936000003</v>
      </c>
    </row>
    <row r="362" spans="1:7">
      <c r="A362" s="5" t="s">
        <v>1120</v>
      </c>
      <c r="B362" s="5" t="s">
        <v>1163</v>
      </c>
      <c r="C362" s="5" t="s">
        <v>1164</v>
      </c>
      <c r="D362" s="6">
        <v>1403277.82</v>
      </c>
      <c r="E362" s="6">
        <f>SUM(D348:D362)</f>
        <v>158485717.40000001</v>
      </c>
      <c r="F362" s="6">
        <f>SUM(G348:G362)</f>
        <v>158279469.54800001</v>
      </c>
      <c r="G362" s="6">
        <v>1431343.3764000002</v>
      </c>
    </row>
    <row r="363" spans="1:7">
      <c r="A363" s="5" t="s">
        <v>1166</v>
      </c>
      <c r="B363" s="5" t="s">
        <v>1167</v>
      </c>
      <c r="C363" s="5" t="s">
        <v>1168</v>
      </c>
      <c r="D363" s="6">
        <v>3096383</v>
      </c>
      <c r="G363" s="6">
        <v>3124635</v>
      </c>
    </row>
    <row r="364" spans="1:7">
      <c r="A364" s="5" t="s">
        <v>1166</v>
      </c>
      <c r="B364" s="5" t="s">
        <v>1170</v>
      </c>
      <c r="C364" s="5" t="s">
        <v>1171</v>
      </c>
      <c r="D364" s="6">
        <v>774637</v>
      </c>
      <c r="G364" s="6">
        <v>762138</v>
      </c>
    </row>
    <row r="365" spans="1:7">
      <c r="A365" s="5" t="s">
        <v>1166</v>
      </c>
      <c r="B365" s="5" t="s">
        <v>1173</v>
      </c>
      <c r="C365" s="5" t="s">
        <v>1174</v>
      </c>
      <c r="D365" s="6">
        <v>634033</v>
      </c>
      <c r="G365" s="6">
        <v>643125</v>
      </c>
    </row>
    <row r="366" spans="1:7">
      <c r="A366" s="5" t="s">
        <v>1166</v>
      </c>
      <c r="B366" s="5" t="s">
        <v>1176</v>
      </c>
      <c r="C366" s="5" t="s">
        <v>1177</v>
      </c>
      <c r="D366" s="6">
        <v>1066298.52</v>
      </c>
      <c r="G366" s="6">
        <v>1087624.4904</v>
      </c>
    </row>
    <row r="367" spans="1:7">
      <c r="A367" s="5" t="s">
        <v>1166</v>
      </c>
      <c r="B367" s="5" t="s">
        <v>1179</v>
      </c>
      <c r="C367" s="5" t="s">
        <v>1181</v>
      </c>
      <c r="D367" s="6">
        <v>752377</v>
      </c>
      <c r="G367" s="6">
        <v>1452684</v>
      </c>
    </row>
    <row r="368" spans="1:7">
      <c r="A368" s="5" t="s">
        <v>1166</v>
      </c>
      <c r="B368" s="5" t="s">
        <v>1182</v>
      </c>
      <c r="C368" s="5" t="s">
        <v>1183</v>
      </c>
      <c r="D368" s="6">
        <v>672862.56</v>
      </c>
      <c r="G368" s="6">
        <v>686319.81120000011</v>
      </c>
    </row>
    <row r="369" spans="1:7">
      <c r="A369" s="5" t="s">
        <v>1166</v>
      </c>
      <c r="B369" s="5" t="s">
        <v>1185</v>
      </c>
      <c r="C369" s="5" t="s">
        <v>1186</v>
      </c>
      <c r="D369" s="6">
        <v>72159789</v>
      </c>
      <c r="G369" s="6">
        <v>71189868</v>
      </c>
    </row>
    <row r="370" spans="1:7">
      <c r="A370" s="5" t="s">
        <v>1166</v>
      </c>
      <c r="B370" s="5" t="s">
        <v>1188</v>
      </c>
      <c r="C370" s="5" t="s">
        <v>1189</v>
      </c>
      <c r="D370" s="6">
        <v>34804</v>
      </c>
      <c r="G370" s="6">
        <v>20612</v>
      </c>
    </row>
    <row r="371" spans="1:7">
      <c r="A371" s="5" t="s">
        <v>1166</v>
      </c>
      <c r="B371" s="5" t="s">
        <v>1191</v>
      </c>
      <c r="C371" s="5" t="s">
        <v>1192</v>
      </c>
      <c r="D371" s="6">
        <v>1719608</v>
      </c>
      <c r="G371" s="6">
        <v>1665779</v>
      </c>
    </row>
    <row r="372" spans="1:7">
      <c r="A372" s="5" t="s">
        <v>1166</v>
      </c>
      <c r="B372" s="5" t="s">
        <v>1194</v>
      </c>
      <c r="C372" s="5" t="s">
        <v>1195</v>
      </c>
      <c r="D372" s="6">
        <v>44266409.82</v>
      </c>
      <c r="G372" s="6">
        <v>45151738.016400002</v>
      </c>
    </row>
    <row r="373" spans="1:7">
      <c r="A373" s="5" t="s">
        <v>1166</v>
      </c>
      <c r="B373" s="5" t="s">
        <v>1197</v>
      </c>
      <c r="C373" s="5" t="s">
        <v>1198</v>
      </c>
      <c r="D373" s="6">
        <v>6817432.4000000004</v>
      </c>
      <c r="G373" s="6">
        <v>6908261</v>
      </c>
    </row>
    <row r="374" spans="1:7">
      <c r="A374" s="5" t="s">
        <v>1166</v>
      </c>
      <c r="B374" s="5" t="s">
        <v>1200</v>
      </c>
      <c r="C374" s="5" t="s">
        <v>1201</v>
      </c>
      <c r="D374" s="6">
        <v>4999944</v>
      </c>
      <c r="G374" s="6">
        <v>4357925</v>
      </c>
    </row>
    <row r="375" spans="1:7">
      <c r="A375" s="5" t="s">
        <v>1166</v>
      </c>
      <c r="B375" s="5" t="s">
        <v>1203</v>
      </c>
      <c r="C375" s="5" t="s">
        <v>1204</v>
      </c>
      <c r="D375" s="6">
        <v>17013850</v>
      </c>
      <c r="G375" s="6">
        <v>16181385</v>
      </c>
    </row>
    <row r="376" spans="1:7">
      <c r="A376" s="5" t="s">
        <v>1166</v>
      </c>
      <c r="B376" s="5" t="s">
        <v>1206</v>
      </c>
      <c r="C376" s="5" t="s">
        <v>1207</v>
      </c>
      <c r="D376" s="6">
        <v>424873</v>
      </c>
      <c r="G376" s="6">
        <v>427683</v>
      </c>
    </row>
    <row r="377" spans="1:7">
      <c r="A377" s="5" t="s">
        <v>1166</v>
      </c>
      <c r="B377" s="5" t="s">
        <v>1209</v>
      </c>
      <c r="C377" s="5" t="s">
        <v>1210</v>
      </c>
      <c r="D377" s="6">
        <v>20050518</v>
      </c>
      <c r="G377" s="6">
        <v>17977997</v>
      </c>
    </row>
    <row r="378" spans="1:7">
      <c r="A378" s="5" t="s">
        <v>1166</v>
      </c>
      <c r="B378" s="5" t="s">
        <v>1212</v>
      </c>
      <c r="C378" s="5" t="s">
        <v>1213</v>
      </c>
      <c r="D378" s="6">
        <v>8832274</v>
      </c>
      <c r="G378" s="6">
        <v>8798206</v>
      </c>
    </row>
    <row r="379" spans="1:7">
      <c r="A379" s="5" t="s">
        <v>1166</v>
      </c>
      <c r="B379" s="5" t="s">
        <v>1215</v>
      </c>
      <c r="C379" s="5" t="s">
        <v>1216</v>
      </c>
      <c r="D379" s="6">
        <v>0</v>
      </c>
      <c r="G379" s="6">
        <v>0</v>
      </c>
    </row>
    <row r="380" spans="1:7">
      <c r="A380" s="5" t="s">
        <v>1166</v>
      </c>
      <c r="B380" s="5" t="s">
        <v>1218</v>
      </c>
      <c r="C380" s="5" t="s">
        <v>1219</v>
      </c>
      <c r="D380" s="6">
        <v>2395820</v>
      </c>
      <c r="G380" s="6">
        <v>2392332</v>
      </c>
    </row>
    <row r="381" spans="1:7">
      <c r="A381" s="5" t="s">
        <v>1166</v>
      </c>
      <c r="B381" s="5" t="s">
        <v>1221</v>
      </c>
      <c r="C381" s="5" t="s">
        <v>1222</v>
      </c>
      <c r="D381" s="6">
        <v>2705743</v>
      </c>
      <c r="G381" s="6">
        <v>2761441</v>
      </c>
    </row>
    <row r="382" spans="1:7">
      <c r="A382" s="5" t="s">
        <v>1166</v>
      </c>
      <c r="B382" s="5" t="s">
        <v>1224</v>
      </c>
      <c r="C382" s="5" t="s">
        <v>1225</v>
      </c>
      <c r="D382" s="6">
        <v>0</v>
      </c>
      <c r="G382" s="6">
        <v>0</v>
      </c>
    </row>
    <row r="383" spans="1:7">
      <c r="A383" s="5" t="s">
        <v>1166</v>
      </c>
      <c r="B383" s="5" t="s">
        <v>1227</v>
      </c>
      <c r="C383" s="5" t="s">
        <v>1228</v>
      </c>
      <c r="D383" s="6">
        <v>2346696</v>
      </c>
      <c r="G383" s="6">
        <v>2299045</v>
      </c>
    </row>
    <row r="384" spans="1:7">
      <c r="A384" s="5" t="s">
        <v>1166</v>
      </c>
      <c r="B384" s="5" t="s">
        <v>1229</v>
      </c>
      <c r="C384" s="5" t="s">
        <v>1230</v>
      </c>
      <c r="D384" s="6">
        <v>3416259</v>
      </c>
      <c r="G384" s="6">
        <v>3409041</v>
      </c>
    </row>
    <row r="385" spans="1:7">
      <c r="A385" s="5" t="s">
        <v>1166</v>
      </c>
      <c r="B385" s="5" t="s">
        <v>1232</v>
      </c>
      <c r="C385" s="5" t="s">
        <v>1233</v>
      </c>
      <c r="D385" s="6">
        <v>4822490</v>
      </c>
      <c r="G385" s="6">
        <v>4822696</v>
      </c>
    </row>
    <row r="386" spans="1:7">
      <c r="A386" s="5" t="s">
        <v>1166</v>
      </c>
      <c r="B386" s="5" t="s">
        <v>1235</v>
      </c>
      <c r="C386" s="5" t="s">
        <v>1236</v>
      </c>
      <c r="D386" s="6">
        <v>647852.92000000004</v>
      </c>
      <c r="G386" s="6">
        <v>660809.97840000002</v>
      </c>
    </row>
    <row r="387" spans="1:7">
      <c r="A387" s="5" t="s">
        <v>1166</v>
      </c>
      <c r="B387" s="5" t="s">
        <v>1238</v>
      </c>
      <c r="C387" s="5" t="s">
        <v>1239</v>
      </c>
      <c r="D387" s="6">
        <v>561526</v>
      </c>
      <c r="G387" s="6">
        <v>553066</v>
      </c>
    </row>
    <row r="388" spans="1:7">
      <c r="A388" s="5" t="s">
        <v>1166</v>
      </c>
      <c r="B388" s="5" t="s">
        <v>1241</v>
      </c>
      <c r="C388" s="5" t="s">
        <v>1242</v>
      </c>
      <c r="D388" s="6">
        <v>1217133</v>
      </c>
      <c r="G388" s="6">
        <v>1217133</v>
      </c>
    </row>
    <row r="389" spans="1:7">
      <c r="A389" s="5" t="s">
        <v>1166</v>
      </c>
      <c r="B389" s="5" t="s">
        <v>1244</v>
      </c>
      <c r="C389" s="5" t="s">
        <v>1245</v>
      </c>
      <c r="D389" s="6">
        <v>2461820</v>
      </c>
      <c r="G389" s="6">
        <v>2461820</v>
      </c>
    </row>
    <row r="390" spans="1:7">
      <c r="A390" s="5" t="s">
        <v>1166</v>
      </c>
      <c r="B390" s="5" t="s">
        <v>1247</v>
      </c>
      <c r="C390" s="5" t="s">
        <v>1248</v>
      </c>
      <c r="D390" s="6">
        <v>5000</v>
      </c>
      <c r="G390" s="6">
        <v>5000</v>
      </c>
    </row>
    <row r="391" spans="1:7">
      <c r="A391" s="5" t="s">
        <v>1166</v>
      </c>
      <c r="B391" s="5" t="s">
        <v>1250</v>
      </c>
      <c r="C391" s="5" t="s">
        <v>1251</v>
      </c>
      <c r="D391" s="6">
        <v>2460879.04</v>
      </c>
      <c r="E391" s="6">
        <f>SUM(D363:D391)</f>
        <v>206357312.25999999</v>
      </c>
      <c r="F391" s="6">
        <f>SUM(G363:G391)</f>
        <v>203528460.91719997</v>
      </c>
      <c r="G391" s="6">
        <v>2510096.6208000001</v>
      </c>
    </row>
    <row r="392" spans="1:7">
      <c r="A392" s="5" t="s">
        <v>1254</v>
      </c>
      <c r="B392" s="5" t="s">
        <v>1253</v>
      </c>
      <c r="C392" s="5" t="s">
        <v>1255</v>
      </c>
      <c r="D392" s="6">
        <v>8966796</v>
      </c>
      <c r="G392" s="6">
        <v>9609022</v>
      </c>
    </row>
    <row r="393" spans="1:7">
      <c r="A393" s="5" t="s">
        <v>1254</v>
      </c>
      <c r="B393" s="5" t="s">
        <v>1257</v>
      </c>
      <c r="C393" s="5" t="s">
        <v>1258</v>
      </c>
      <c r="D393" s="6">
        <v>9998397</v>
      </c>
      <c r="G393" s="6">
        <v>9645703</v>
      </c>
    </row>
    <row r="394" spans="1:7">
      <c r="A394" s="5" t="s">
        <v>1254</v>
      </c>
      <c r="B394" s="5" t="s">
        <v>1260</v>
      </c>
      <c r="C394" s="5" t="s">
        <v>1261</v>
      </c>
      <c r="D394" s="6">
        <v>33436088</v>
      </c>
      <c r="G394" s="6">
        <v>33138635</v>
      </c>
    </row>
    <row r="395" spans="1:7">
      <c r="A395" s="5" t="s">
        <v>1254</v>
      </c>
      <c r="B395" s="5" t="s">
        <v>1263</v>
      </c>
      <c r="C395" s="5" t="s">
        <v>1264</v>
      </c>
      <c r="D395" s="6">
        <v>31154210</v>
      </c>
      <c r="E395" s="6">
        <f>SUM(D392:D395)</f>
        <v>83555491</v>
      </c>
      <c r="F395" s="6">
        <f>SUM(G392:G395)</f>
        <v>83800486</v>
      </c>
      <c r="G395" s="6">
        <v>31407126</v>
      </c>
    </row>
    <row r="396" spans="1:7">
      <c r="A396" s="5" t="s">
        <v>1266</v>
      </c>
      <c r="B396" s="5" t="s">
        <v>1266</v>
      </c>
      <c r="C396" s="5" t="s">
        <v>1267</v>
      </c>
      <c r="D396" s="6">
        <v>17168859</v>
      </c>
      <c r="E396" s="6">
        <f>D396</f>
        <v>17168859</v>
      </c>
      <c r="F396" s="6">
        <f>G396</f>
        <v>16528859</v>
      </c>
      <c r="G396" s="6">
        <v>16528859</v>
      </c>
    </row>
    <row r="397" spans="1:7">
      <c r="A397" s="5" t="s">
        <v>1269</v>
      </c>
      <c r="B397" s="5" t="s">
        <v>1270</v>
      </c>
      <c r="C397" s="5" t="s">
        <v>1271</v>
      </c>
      <c r="D397" s="6">
        <v>1130791.04</v>
      </c>
      <c r="G397" s="6">
        <v>1153406.8608000001</v>
      </c>
    </row>
    <row r="398" spans="1:7">
      <c r="A398" s="5" t="s">
        <v>1269</v>
      </c>
      <c r="B398" s="5" t="s">
        <v>1273</v>
      </c>
      <c r="C398" s="5" t="s">
        <v>1274</v>
      </c>
      <c r="D398" s="6">
        <v>157570.06</v>
      </c>
      <c r="G398" s="6">
        <v>160721.46119999999</v>
      </c>
    </row>
    <row r="399" spans="1:7">
      <c r="A399" s="5" t="s">
        <v>1269</v>
      </c>
      <c r="B399" s="5" t="s">
        <v>1276</v>
      </c>
      <c r="C399" s="5" t="s">
        <v>1277</v>
      </c>
      <c r="D399" s="6">
        <v>2941706</v>
      </c>
      <c r="G399" s="6">
        <v>2866955</v>
      </c>
    </row>
    <row r="400" spans="1:7">
      <c r="A400" s="5" t="s">
        <v>1269</v>
      </c>
      <c r="B400" s="5" t="s">
        <v>1279</v>
      </c>
      <c r="C400" s="5" t="s">
        <v>1280</v>
      </c>
      <c r="D400" s="6">
        <v>0</v>
      </c>
      <c r="G400" s="6">
        <v>0</v>
      </c>
    </row>
    <row r="401" spans="1:7">
      <c r="A401" s="5" t="s">
        <v>1269</v>
      </c>
      <c r="B401" s="5" t="s">
        <v>1282</v>
      </c>
      <c r="C401" s="5" t="s">
        <v>1283</v>
      </c>
      <c r="D401" s="6">
        <v>11836844.040000001</v>
      </c>
      <c r="G401" s="6">
        <v>12073580.9208</v>
      </c>
    </row>
    <row r="402" spans="1:7">
      <c r="A402" s="5" t="s">
        <v>1269</v>
      </c>
      <c r="B402" s="5" t="s">
        <v>1285</v>
      </c>
      <c r="C402" s="5" t="s">
        <v>1286</v>
      </c>
      <c r="D402" s="6">
        <v>5680658.7200000007</v>
      </c>
      <c r="G402" s="6">
        <v>5794271.8944000006</v>
      </c>
    </row>
    <row r="403" spans="1:7">
      <c r="A403" s="5" t="s">
        <v>1269</v>
      </c>
      <c r="B403" s="5" t="s">
        <v>1340</v>
      </c>
      <c r="C403" s="5" t="s">
        <v>1411</v>
      </c>
      <c r="D403" s="6">
        <v>6556810.2000000002</v>
      </c>
      <c r="G403" s="6">
        <v>6687946.4040000001</v>
      </c>
    </row>
    <row r="404" spans="1:7">
      <c r="A404" s="5" t="s">
        <v>1269</v>
      </c>
      <c r="B404" s="5" t="s">
        <v>1341</v>
      </c>
      <c r="C404" s="5" t="s">
        <v>1410</v>
      </c>
      <c r="D404" s="6">
        <v>18237183</v>
      </c>
      <c r="G404" s="6">
        <v>8319155</v>
      </c>
    </row>
    <row r="405" spans="1:7">
      <c r="A405" s="5" t="s">
        <v>1269</v>
      </c>
      <c r="B405" s="5" t="s">
        <v>1342</v>
      </c>
      <c r="C405" s="5" t="s">
        <v>1409</v>
      </c>
      <c r="D405" s="6">
        <v>8166669.3000000007</v>
      </c>
      <c r="G405" s="6">
        <v>8330002.6860000007</v>
      </c>
    </row>
    <row r="406" spans="1:7">
      <c r="A406" s="5" t="s">
        <v>1269</v>
      </c>
      <c r="B406" s="5" t="s">
        <v>1343</v>
      </c>
      <c r="C406" s="5" t="s">
        <v>1412</v>
      </c>
      <c r="D406" s="6">
        <v>0</v>
      </c>
      <c r="G406" s="6">
        <v>0</v>
      </c>
    </row>
    <row r="407" spans="1:7">
      <c r="A407" s="5" t="s">
        <v>1269</v>
      </c>
      <c r="B407" s="5" t="s">
        <v>1344</v>
      </c>
      <c r="C407" s="5" t="s">
        <v>1413</v>
      </c>
      <c r="D407" s="6">
        <v>4047112</v>
      </c>
      <c r="G407" s="6">
        <v>4530241</v>
      </c>
    </row>
    <row r="408" spans="1:7">
      <c r="A408" s="5" t="s">
        <v>1269</v>
      </c>
      <c r="B408" s="5" t="s">
        <v>1345</v>
      </c>
      <c r="C408" s="5" t="s">
        <v>1414</v>
      </c>
      <c r="D408" s="6">
        <v>1169180</v>
      </c>
      <c r="G408" s="6">
        <v>1186906</v>
      </c>
    </row>
    <row r="409" spans="1:7">
      <c r="A409" s="5" t="s">
        <v>1269</v>
      </c>
      <c r="B409" s="5" t="s">
        <v>1346</v>
      </c>
      <c r="C409" s="5" t="s">
        <v>1415</v>
      </c>
      <c r="D409" s="6">
        <v>1959940</v>
      </c>
      <c r="G409" s="6">
        <v>1958650</v>
      </c>
    </row>
    <row r="410" spans="1:7">
      <c r="A410" s="5" t="s">
        <v>1269</v>
      </c>
      <c r="B410" s="5" t="s">
        <v>1347</v>
      </c>
      <c r="C410" s="5" t="s">
        <v>1416</v>
      </c>
      <c r="D410" s="6">
        <v>1319</v>
      </c>
      <c r="G410" s="6">
        <v>1319</v>
      </c>
    </row>
    <row r="411" spans="1:7">
      <c r="A411" s="5" t="s">
        <v>1269</v>
      </c>
      <c r="B411" s="5" t="s">
        <v>1348</v>
      </c>
      <c r="C411" s="5" t="s">
        <v>1417</v>
      </c>
      <c r="D411" s="6">
        <v>787548.20000000007</v>
      </c>
      <c r="G411" s="6">
        <v>803299.16400000011</v>
      </c>
    </row>
    <row r="412" spans="1:7">
      <c r="A412" s="5" t="s">
        <v>1269</v>
      </c>
      <c r="B412" s="5" t="s">
        <v>1349</v>
      </c>
      <c r="C412" s="5" t="s">
        <v>1418</v>
      </c>
      <c r="D412" s="6">
        <v>176409</v>
      </c>
      <c r="G412" s="6">
        <v>176409</v>
      </c>
    </row>
    <row r="413" spans="1:7">
      <c r="A413" s="5" t="s">
        <v>1269</v>
      </c>
      <c r="B413" s="5" t="s">
        <v>1350</v>
      </c>
      <c r="C413" s="5" t="s">
        <v>1419</v>
      </c>
      <c r="D413" s="6">
        <v>6590150.3799999999</v>
      </c>
      <c r="G413" s="6">
        <v>6721953.3876</v>
      </c>
    </row>
    <row r="414" spans="1:7">
      <c r="A414" s="5" t="s">
        <v>1269</v>
      </c>
      <c r="B414" s="5" t="s">
        <v>1351</v>
      </c>
      <c r="C414" s="5" t="s">
        <v>1420</v>
      </c>
      <c r="D414" s="6">
        <v>8479297.2200000007</v>
      </c>
      <c r="G414" s="6">
        <v>8188944</v>
      </c>
    </row>
    <row r="415" spans="1:7">
      <c r="A415" s="5" t="s">
        <v>1269</v>
      </c>
      <c r="B415" s="5" t="s">
        <v>1352</v>
      </c>
      <c r="C415" s="5" t="s">
        <v>1421</v>
      </c>
      <c r="D415" s="6">
        <v>5769271.54</v>
      </c>
      <c r="G415" s="6">
        <v>5884656.9708000002</v>
      </c>
    </row>
    <row r="416" spans="1:7">
      <c r="A416" s="5" t="s">
        <v>1269</v>
      </c>
      <c r="B416" s="5" t="s">
        <v>1353</v>
      </c>
      <c r="C416" s="5" t="s">
        <v>1422</v>
      </c>
      <c r="D416" s="6">
        <v>16260578</v>
      </c>
      <c r="G416" s="6">
        <v>16189961</v>
      </c>
    </row>
    <row r="417" spans="1:7">
      <c r="A417" s="5" t="s">
        <v>1269</v>
      </c>
      <c r="B417" s="5" t="s">
        <v>1354</v>
      </c>
      <c r="C417" s="5" t="s">
        <v>1423</v>
      </c>
      <c r="D417" s="6">
        <v>5329419.24</v>
      </c>
      <c r="G417" s="6">
        <v>5436007.6248000003</v>
      </c>
    </row>
    <row r="418" spans="1:7">
      <c r="A418" s="5" t="s">
        <v>1269</v>
      </c>
      <c r="B418" s="5" t="s">
        <v>1355</v>
      </c>
      <c r="C418" s="5" t="s">
        <v>1424</v>
      </c>
      <c r="D418" s="6">
        <v>3709989</v>
      </c>
      <c r="G418" s="6">
        <v>3951862</v>
      </c>
    </row>
    <row r="419" spans="1:7">
      <c r="A419" s="5" t="s">
        <v>1269</v>
      </c>
      <c r="B419" s="5" t="s">
        <v>1356</v>
      </c>
      <c r="C419" s="5" t="s">
        <v>1425</v>
      </c>
      <c r="D419" s="6">
        <v>3475079</v>
      </c>
      <c r="G419" s="6">
        <v>3517341</v>
      </c>
    </row>
    <row r="420" spans="1:7">
      <c r="A420" s="5" t="s">
        <v>1269</v>
      </c>
      <c r="B420" s="5" t="s">
        <v>1357</v>
      </c>
      <c r="C420" s="5" t="s">
        <v>1426</v>
      </c>
      <c r="D420" s="6">
        <v>4862593</v>
      </c>
      <c r="G420" s="6">
        <v>4738958</v>
      </c>
    </row>
    <row r="421" spans="1:7">
      <c r="A421" s="5" t="s">
        <v>1269</v>
      </c>
      <c r="B421" s="5" t="s">
        <v>1358</v>
      </c>
      <c r="C421" s="5" t="s">
        <v>1427</v>
      </c>
      <c r="D421" s="6">
        <v>125102</v>
      </c>
      <c r="E421" s="6">
        <f>SUM(D397:D421)</f>
        <v>117451219.94</v>
      </c>
      <c r="F421" s="6">
        <f>SUM(G397:G421)</f>
        <v>108801471.37439999</v>
      </c>
      <c r="G421" s="6">
        <v>128923</v>
      </c>
    </row>
    <row r="422" spans="1:7">
      <c r="A422" s="5" t="s">
        <v>1288</v>
      </c>
      <c r="B422" s="5" t="s">
        <v>1289</v>
      </c>
      <c r="C422" s="5" t="s">
        <v>1290</v>
      </c>
      <c r="D422" s="6">
        <v>4088582</v>
      </c>
      <c r="G422" s="6">
        <v>4141812</v>
      </c>
    </row>
    <row r="423" spans="1:7">
      <c r="A423" s="5" t="s">
        <v>1288</v>
      </c>
      <c r="B423" s="5" t="s">
        <v>1291</v>
      </c>
      <c r="C423" s="5" t="s">
        <v>1292</v>
      </c>
      <c r="D423" s="6">
        <v>8339309</v>
      </c>
      <c r="G423" s="6">
        <v>7859354</v>
      </c>
    </row>
    <row r="424" spans="1:7">
      <c r="A424" s="5" t="s">
        <v>1288</v>
      </c>
      <c r="B424" s="5" t="s">
        <v>1293</v>
      </c>
      <c r="C424" s="5" t="s">
        <v>1294</v>
      </c>
      <c r="D424" s="6">
        <v>2378577.46</v>
      </c>
      <c r="G424" s="6">
        <v>2426149.0092000002</v>
      </c>
    </row>
    <row r="425" spans="1:7">
      <c r="A425" s="5" t="s">
        <v>1288</v>
      </c>
      <c r="B425" s="5" t="s">
        <v>1295</v>
      </c>
      <c r="C425" s="5" t="s">
        <v>1296</v>
      </c>
      <c r="D425" s="6">
        <v>7146081</v>
      </c>
      <c r="G425" s="6">
        <v>7276013</v>
      </c>
    </row>
    <row r="426" spans="1:7">
      <c r="A426" s="5" t="s">
        <v>1288</v>
      </c>
      <c r="B426" s="5" t="s">
        <v>1297</v>
      </c>
      <c r="C426" s="5" t="s">
        <v>1298</v>
      </c>
      <c r="D426" s="6">
        <v>6334237</v>
      </c>
      <c r="G426" s="6">
        <v>6242554</v>
      </c>
    </row>
    <row r="427" spans="1:7">
      <c r="A427" s="5" t="s">
        <v>1288</v>
      </c>
      <c r="B427" s="5" t="s">
        <v>1299</v>
      </c>
      <c r="C427" s="5" t="s">
        <v>1300</v>
      </c>
      <c r="D427" s="6">
        <v>7082704</v>
      </c>
      <c r="G427" s="6">
        <v>7020980</v>
      </c>
    </row>
    <row r="428" spans="1:7">
      <c r="A428" s="5" t="s">
        <v>1288</v>
      </c>
      <c r="B428" s="5" t="s">
        <v>1301</v>
      </c>
      <c r="C428" s="5" t="s">
        <v>1302</v>
      </c>
      <c r="D428" s="6">
        <v>2104426</v>
      </c>
      <c r="G428" s="6">
        <v>2073312</v>
      </c>
    </row>
    <row r="429" spans="1:7">
      <c r="A429" s="5" t="s">
        <v>1288</v>
      </c>
      <c r="B429" s="5" t="s">
        <v>1303</v>
      </c>
      <c r="C429" s="5" t="s">
        <v>1304</v>
      </c>
      <c r="D429" s="6">
        <v>5923563</v>
      </c>
      <c r="E429" s="6">
        <f>SUM(D422:D429)</f>
        <v>43397479.460000001</v>
      </c>
      <c r="F429" s="6">
        <f>SUM(G422:G429)</f>
        <v>43111575.009199999</v>
      </c>
      <c r="G429" s="6">
        <v>6071401</v>
      </c>
    </row>
    <row r="430" spans="1:7">
      <c r="A430" s="5" t="s">
        <v>1305</v>
      </c>
      <c r="B430" s="5" t="s">
        <v>1306</v>
      </c>
      <c r="C430" s="5" t="s">
        <v>1307</v>
      </c>
      <c r="D430" s="6">
        <v>100000000</v>
      </c>
      <c r="G430" s="6">
        <v>150000000</v>
      </c>
    </row>
    <row r="431" spans="1:7">
      <c r="A431" s="5" t="s">
        <v>1305</v>
      </c>
      <c r="B431" s="5" t="s">
        <v>1308</v>
      </c>
      <c r="C431" s="5" t="s">
        <v>1309</v>
      </c>
      <c r="D431" s="6">
        <v>646094797.58000004</v>
      </c>
      <c r="E431" s="6">
        <f>SUM(D430:D431)</f>
        <v>746094797.58000004</v>
      </c>
      <c r="F431" s="6">
        <f>SUM(G430:G431)</f>
        <v>798802441.89160001</v>
      </c>
      <c r="G431" s="6">
        <v>648802441.89160001</v>
      </c>
    </row>
    <row r="432" spans="1:7">
      <c r="A432" s="5" t="s">
        <v>1310</v>
      </c>
      <c r="B432" s="5" t="s">
        <v>1311</v>
      </c>
      <c r="C432" s="5" t="s">
        <v>1312</v>
      </c>
      <c r="D432" s="6">
        <v>10350217.5</v>
      </c>
      <c r="E432" s="6">
        <f>D432</f>
        <v>10350217.5</v>
      </c>
      <c r="F432" s="6">
        <f>G432</f>
        <v>10609475.57</v>
      </c>
      <c r="G432" s="6">
        <v>10609475.57</v>
      </c>
    </row>
    <row r="433" spans="1:7">
      <c r="A433" s="5" t="s">
        <v>1313</v>
      </c>
      <c r="B433" s="5" t="s">
        <v>1314</v>
      </c>
      <c r="C433" s="5" t="s">
        <v>1315</v>
      </c>
      <c r="D433" s="6">
        <v>489439310</v>
      </c>
      <c r="G433" s="6">
        <v>461132853</v>
      </c>
    </row>
    <row r="434" spans="1:7">
      <c r="A434" s="5" t="s">
        <v>1313</v>
      </c>
      <c r="B434" s="5" t="s">
        <v>1316</v>
      </c>
      <c r="C434" s="5" t="s">
        <v>1317</v>
      </c>
      <c r="D434" s="6">
        <v>35067190</v>
      </c>
      <c r="G434" s="6">
        <v>36173086</v>
      </c>
    </row>
    <row r="435" spans="1:7">
      <c r="A435" s="5" t="s">
        <v>1313</v>
      </c>
      <c r="B435" s="5" t="s">
        <v>1318</v>
      </c>
      <c r="C435" s="5" t="s">
        <v>1319</v>
      </c>
      <c r="D435" s="6">
        <v>207473907</v>
      </c>
      <c r="E435" s="6">
        <f>SUM(D433:D435)</f>
        <v>731980407</v>
      </c>
      <c r="F435" s="6">
        <f>SUM(G433:G435)</f>
        <v>697317666</v>
      </c>
      <c r="G435" s="6">
        <v>200011727</v>
      </c>
    </row>
    <row r="436" spans="1:7">
      <c r="A436" s="5" t="s">
        <v>1320</v>
      </c>
      <c r="B436" s="5" t="s">
        <v>1321</v>
      </c>
      <c r="C436" s="5" t="s">
        <v>1322</v>
      </c>
      <c r="D436" s="6">
        <v>384396</v>
      </c>
      <c r="E436" s="6">
        <f>D436</f>
        <v>384396</v>
      </c>
      <c r="F436" s="6">
        <f>G436</f>
        <v>361732</v>
      </c>
      <c r="G436" s="6">
        <v>361732</v>
      </c>
    </row>
    <row r="437" spans="1:7">
      <c r="A437" s="5" t="s">
        <v>1434</v>
      </c>
      <c r="B437" s="5" t="s">
        <v>1323</v>
      </c>
      <c r="C437" s="5" t="s">
        <v>1324</v>
      </c>
      <c r="D437" s="6">
        <v>25019947.579999998</v>
      </c>
      <c r="G437" s="6">
        <v>22328027.371600002</v>
      </c>
    </row>
    <row r="438" spans="1:7">
      <c r="A438" s="5" t="s">
        <v>1434</v>
      </c>
      <c r="B438" s="5" t="s">
        <v>1325</v>
      </c>
      <c r="C438" s="5" t="s">
        <v>1326</v>
      </c>
      <c r="D438" s="6">
        <v>0</v>
      </c>
      <c r="G438" s="6">
        <v>0</v>
      </c>
    </row>
    <row r="439" spans="1:7">
      <c r="A439" s="5" t="s">
        <v>1434</v>
      </c>
      <c r="B439" s="5" t="s">
        <v>1327</v>
      </c>
      <c r="C439" s="5" t="s">
        <v>1328</v>
      </c>
      <c r="D439" s="6">
        <v>545099</v>
      </c>
      <c r="G439" s="6">
        <v>590924</v>
      </c>
    </row>
    <row r="440" spans="1:7">
      <c r="A440" s="5" t="s">
        <v>1434</v>
      </c>
      <c r="B440" s="5" t="s">
        <v>1329</v>
      </c>
      <c r="C440" s="5" t="s">
        <v>1330</v>
      </c>
      <c r="D440" s="6">
        <v>44438</v>
      </c>
      <c r="G440" s="6">
        <v>63458</v>
      </c>
    </row>
    <row r="441" spans="1:7">
      <c r="A441" s="5" t="s">
        <v>1434</v>
      </c>
      <c r="B441" s="5" t="s">
        <v>1331</v>
      </c>
      <c r="C441" s="5" t="s">
        <v>1332</v>
      </c>
      <c r="D441" s="6">
        <v>0</v>
      </c>
      <c r="G441" s="6">
        <v>0</v>
      </c>
    </row>
    <row r="442" spans="1:7">
      <c r="A442" s="5" t="s">
        <v>1434</v>
      </c>
      <c r="B442" s="5" t="s">
        <v>1333</v>
      </c>
      <c r="C442" s="5" t="s">
        <v>1334</v>
      </c>
      <c r="D442" s="6">
        <v>12000</v>
      </c>
      <c r="E442" s="6">
        <f>SUM(D437:D442)</f>
        <v>25621484.579999998</v>
      </c>
      <c r="F442" s="6">
        <f>SUM(G437:G442)</f>
        <v>22994409.371600002</v>
      </c>
      <c r="G442" s="6">
        <v>12000</v>
      </c>
    </row>
    <row r="443" spans="1:7">
      <c r="A443" s="5" t="s">
        <v>1428</v>
      </c>
      <c r="B443" s="5" t="s">
        <v>1335</v>
      </c>
      <c r="C443" s="5" t="s">
        <v>1336</v>
      </c>
      <c r="D443" s="6">
        <v>4025614</v>
      </c>
      <c r="G443" s="6">
        <v>4824881</v>
      </c>
    </row>
    <row r="444" spans="1:7">
      <c r="A444" s="5" t="s">
        <v>1428</v>
      </c>
      <c r="B444" s="5" t="s">
        <v>1337</v>
      </c>
      <c r="C444" s="5" t="s">
        <v>1338</v>
      </c>
      <c r="D444" s="6">
        <v>26062702</v>
      </c>
      <c r="E444" s="6">
        <f>SUM(D443:D444)</f>
        <v>30088316</v>
      </c>
      <c r="F444" s="6">
        <f>SUM(G443:G444)</f>
        <v>30292913</v>
      </c>
      <c r="G444" s="6">
        <v>25468032</v>
      </c>
    </row>
    <row r="445" spans="1:7">
      <c r="A445" s="5" t="s">
        <v>1400</v>
      </c>
      <c r="B445" s="5" t="s">
        <v>1429</v>
      </c>
      <c r="C445" s="5" t="s">
        <v>1339</v>
      </c>
      <c r="D445" s="6">
        <v>0</v>
      </c>
      <c r="E445" s="6">
        <f>D445</f>
        <v>0</v>
      </c>
      <c r="F445" s="6">
        <f>G445</f>
        <v>0</v>
      </c>
      <c r="G445" s="6">
        <v>0</v>
      </c>
    </row>
    <row r="446" spans="1:7">
      <c r="A446" s="5" t="s">
        <v>1601</v>
      </c>
      <c r="D446" s="6">
        <v>100000000</v>
      </c>
      <c r="E446" s="6">
        <v>100000000</v>
      </c>
      <c r="F446" s="6">
        <v>100000000</v>
      </c>
      <c r="G446" s="6">
        <v>100000000</v>
      </c>
    </row>
  </sheetData>
  <pageMargins left="0.75" right="0.75" top="1" bottom="1" header="0.5" footer="0.5"/>
  <pageSetup orientation="portrait" horizontalDpi="4294967292" verticalDpi="4294967292"/>
  <ignoredErrors>
    <ignoredError sqref="E306" formulaRang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Key</vt:lpstr>
      <vt:lpstr>NPRI alternative</vt:lpstr>
      <vt:lpstr>101-2610</vt:lpstr>
      <vt:lpstr>101-2699</vt:lpstr>
      <vt:lpstr>101-3013</vt:lpstr>
      <vt:lpstr>2013 vs NPRI, Gov</vt:lpstr>
      <vt:lpstr>NPRI vs Gov</vt:lpstr>
      <vt:lpstr>12-13, NPRI, Gov overview</vt:lpstr>
      <vt:lpstr>$ by Department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 SB PAO</dc:creator>
  <cp:lastModifiedBy>Chantal Lovell</cp:lastModifiedBy>
  <cp:lastPrinted>2015-02-12T19:03:53Z</cp:lastPrinted>
  <dcterms:created xsi:type="dcterms:W3CDTF">2015-02-09T22:16:17Z</dcterms:created>
  <dcterms:modified xsi:type="dcterms:W3CDTF">2015-03-23T16:36:11Z</dcterms:modified>
</cp:coreProperties>
</file>