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55" windowHeight="7935" tabRatio="954" firstSheet="2" activeTab="19"/>
  </bookViews>
  <sheets>
    <sheet name="Counties Summary" sheetId="19" r:id="rId1"/>
    <sheet name="Public Works Projects" sheetId="20" r:id="rId2"/>
    <sheet name="CBA % Fringe" sheetId="18" r:id="rId3"/>
    <sheet name="Carson" sheetId="1" r:id="rId4"/>
    <sheet name="Churchill" sheetId="2" r:id="rId5"/>
    <sheet name="Clark" sheetId="3" r:id="rId6"/>
    <sheet name="Douglas" sheetId="4" r:id="rId7"/>
    <sheet name="Elko" sheetId="5" r:id="rId8"/>
    <sheet name="Esmeralda" sheetId="6" r:id="rId9"/>
    <sheet name="Eureka" sheetId="8" r:id="rId10"/>
    <sheet name="Humboldt" sheetId="9" r:id="rId11"/>
    <sheet name="Lander" sheetId="10" r:id="rId12"/>
    <sheet name="Lincoln" sheetId="7" r:id="rId13"/>
    <sheet name="Lyon" sheetId="13" r:id="rId14"/>
    <sheet name="Mineral" sheetId="12" r:id="rId15"/>
    <sheet name="Nye" sheetId="14" r:id="rId16"/>
    <sheet name="Pershing" sheetId="15" r:id="rId17"/>
    <sheet name="Storey" sheetId="16" r:id="rId18"/>
    <sheet name="Washoe" sheetId="11" r:id="rId19"/>
    <sheet name="White Pine" sheetId="17" r:id="rId20"/>
    <sheet name="South All Projects" sheetId="21" r:id="rId21"/>
    <sheet name="South NSHE &amp; South District" sheetId="24" r:id="rId22"/>
    <sheet name="North All Public Works Projects" sheetId="25" r:id="rId23"/>
    <sheet name="North NSHE &amp; School District" sheetId="22" r:id="rId24"/>
  </sheets>
  <definedNames>
    <definedName name="AIR_BALANCE" localSheetId="3">Carson!$A$3</definedName>
    <definedName name="ALARM" localSheetId="3">Carson!$A$8</definedName>
    <definedName name="BOILER" localSheetId="3">Carson!$A$11</definedName>
    <definedName name="BRICK" localSheetId="3">Carson!$A$14</definedName>
    <definedName name="CARPENTER" localSheetId="3">Carson!$A$19</definedName>
    <definedName name="CEMENT" localSheetId="3">Carson!$A$23</definedName>
    <definedName name="CRANES" localSheetId="5">Clark!$A$142</definedName>
    <definedName name="ELEC_LINE" localSheetId="3">Carson!$A$32</definedName>
    <definedName name="ELEVATOR" localSheetId="3">Carson!$A$48</definedName>
    <definedName name="FENCE" localSheetId="3">Carson!$A$52</definedName>
    <definedName name="FLAG" localSheetId="3">Carson!$A$55</definedName>
    <definedName name="FLOOR" localSheetId="3">Carson!$A$58</definedName>
    <definedName name="GLAZIER" localSheetId="3">Carson!$A$62</definedName>
    <definedName name="HIGHWAY" localSheetId="3">Carson!$A$65</definedName>
    <definedName name="HOD_BRICK" localSheetId="3">Carson!$A$68</definedName>
    <definedName name="HOD_PLASTERER" localSheetId="3">Carson!$A$72</definedName>
    <definedName name="IRONWORKER" localSheetId="3">Carson!$A$77</definedName>
    <definedName name="LABORER" localSheetId="3">Carson!$A$82</definedName>
    <definedName name="MECH" localSheetId="3">Carson!$A$99</definedName>
    <definedName name="MILLWRIGHT" localSheetId="3">Carson!$A$104</definedName>
    <definedName name="NEON" localSheetId="3">Carson!$A$39</definedName>
    <definedName name="OP_ENG_PILE" localSheetId="3">Carson!$A$145</definedName>
    <definedName name="OP_ENGINEER" localSheetId="3">Carson!$A$107</definedName>
    <definedName name="PAINTER" localSheetId="3">Carson!$A$164</definedName>
    <definedName name="PILEDRIVER" localSheetId="3">Carson!$A$175</definedName>
    <definedName name="PLASTERER" localSheetId="3">Carson!$A$179</definedName>
    <definedName name="PLUMBER" localSheetId="3">Carson!$A$183</definedName>
    <definedName name="_xlnm.Print_Titles" localSheetId="3">Carson!$1:$2</definedName>
    <definedName name="_xlnm.Print_Titles" localSheetId="4">Churchill!$1:$2</definedName>
    <definedName name="_xlnm.Print_Titles" localSheetId="5">Clark!$1:$2</definedName>
    <definedName name="_xlnm.Print_Titles" localSheetId="6">Douglas!$1:$2</definedName>
    <definedName name="_xlnm.Print_Titles" localSheetId="7">Elko!$1:$2</definedName>
    <definedName name="_xlnm.Print_Titles" localSheetId="8">Esmeralda!$1:$2</definedName>
    <definedName name="_xlnm.Print_Titles" localSheetId="9">Eureka!$1:$2</definedName>
    <definedName name="_xlnm.Print_Titles" localSheetId="10">Humboldt!$1:$2</definedName>
    <definedName name="_xlnm.Print_Titles" localSheetId="11">Lander!$1:$2</definedName>
    <definedName name="_xlnm.Print_Titles" localSheetId="12">Lincoln!$1:$2</definedName>
    <definedName name="_xlnm.Print_Titles" localSheetId="13">Lyon!$1:$2</definedName>
    <definedName name="_xlnm.Print_Titles" localSheetId="14">Mineral!$1:$2</definedName>
    <definedName name="_xlnm.Print_Titles" localSheetId="15">Nye!$1:$2</definedName>
    <definedName name="_xlnm.Print_Titles" localSheetId="16">Pershing!$1:$2</definedName>
    <definedName name="_xlnm.Print_Titles" localSheetId="17">Storey!$1:$2</definedName>
    <definedName name="_xlnm.Print_Titles" localSheetId="18">Washoe!$1:$2</definedName>
    <definedName name="_xlnm.Print_Titles" localSheetId="19">'White Pine'!$1:$2</definedName>
    <definedName name="REFRIGERATION" localSheetId="3">Carson!$A$188</definedName>
    <definedName name="ROOFER" localSheetId="3">Carson!$A$191</definedName>
    <definedName name="SHEET_METAL_WORKER" localSheetId="3">Carson!$A$194</definedName>
    <definedName name="SPRINKLER_FITTER" localSheetId="3">Carson!$A$199</definedName>
    <definedName name="STEEL" localSheetId="3">Carson!$A$128</definedName>
    <definedName name="SURVEYOR" localSheetId="5">Clark!$A$217</definedName>
    <definedName name="TAPER" localSheetId="3">Carson!$A$207</definedName>
    <definedName name="TECHNICIAN" localSheetId="3">Carson!$A$27</definedName>
    <definedName name="TILE_" localSheetId="3">Carson!$A$210</definedName>
    <definedName name="TRAFFIC_BARRIER_ERECTOR" localSheetId="3">Carson!$A$221</definedName>
    <definedName name="TRUCK_DRIVER" localSheetId="3">Carson!$A$224</definedName>
    <definedName name="TUNNEL" localSheetId="5">Clark!$A$232</definedName>
    <definedName name="WELL_DRILLER" localSheetId="3">Carson!$A$227</definedName>
    <definedName name="WIREMAN" localSheetId="3">Carson!$A$42</definedName>
  </definedNames>
  <calcPr calcId="125725" concurrentCalc="0"/>
</workbook>
</file>

<file path=xl/calcChain.xml><?xml version="1.0" encoding="utf-8"?>
<calcChain xmlns="http://schemas.openxmlformats.org/spreadsheetml/2006/main">
  <c r="G271" i="9"/>
  <c r="J12" i="19"/>
  <c r="K20" i="1"/>
  <c r="L20"/>
  <c r="K21"/>
  <c r="L21"/>
  <c r="K28"/>
  <c r="L28"/>
  <c r="K29"/>
  <c r="L29"/>
  <c r="K30"/>
  <c r="L30"/>
  <c r="K43"/>
  <c r="L43"/>
  <c r="K44"/>
  <c r="L44"/>
  <c r="K45"/>
  <c r="L45"/>
  <c r="K46"/>
  <c r="L46"/>
  <c r="K59"/>
  <c r="L59"/>
  <c r="K60"/>
  <c r="L60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4"/>
  <c r="L94"/>
  <c r="K95"/>
  <c r="L95"/>
  <c r="K96"/>
  <c r="L96"/>
  <c r="K97"/>
  <c r="L97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5"/>
  <c r="L165"/>
  <c r="K166"/>
  <c r="L166"/>
  <c r="K167"/>
  <c r="L167"/>
  <c r="K168"/>
  <c r="L168"/>
  <c r="K169"/>
  <c r="L169"/>
  <c r="K170"/>
  <c r="L170"/>
  <c r="K171"/>
  <c r="L171"/>
  <c r="K172"/>
  <c r="L172"/>
  <c r="K184"/>
  <c r="L184"/>
  <c r="K185"/>
  <c r="L185"/>
  <c r="K186"/>
  <c r="L186"/>
  <c r="K189"/>
  <c r="L189"/>
  <c r="K192"/>
  <c r="L192"/>
  <c r="K195"/>
  <c r="L195"/>
  <c r="K196"/>
  <c r="L196"/>
  <c r="K197"/>
  <c r="L197"/>
  <c r="K205"/>
  <c r="L205"/>
  <c r="K225"/>
  <c r="L225"/>
  <c r="L2"/>
  <c r="F4" i="19"/>
  <c r="K16" i="4"/>
  <c r="L16"/>
  <c r="K19"/>
  <c r="L19"/>
  <c r="K20"/>
  <c r="L20"/>
  <c r="K23"/>
  <c r="L23"/>
  <c r="K24"/>
  <c r="L24"/>
  <c r="K42"/>
  <c r="L42"/>
  <c r="K43"/>
  <c r="L43"/>
  <c r="K44"/>
  <c r="L44"/>
  <c r="K45"/>
  <c r="L45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3"/>
  <c r="L93"/>
  <c r="K94"/>
  <c r="L94"/>
  <c r="K95"/>
  <c r="L95"/>
  <c r="K96"/>
  <c r="L96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5"/>
  <c r="L165"/>
  <c r="K166"/>
  <c r="L166"/>
  <c r="K167"/>
  <c r="L167"/>
  <c r="K168"/>
  <c r="L168"/>
  <c r="K169"/>
  <c r="L169"/>
  <c r="K170"/>
  <c r="L170"/>
  <c r="K171"/>
  <c r="L171"/>
  <c r="K172"/>
  <c r="L172"/>
  <c r="K190"/>
  <c r="L190"/>
  <c r="K203"/>
  <c r="L203"/>
  <c r="K224"/>
  <c r="L224"/>
  <c r="L2"/>
  <c r="F7" i="19"/>
  <c r="K21" i="5"/>
  <c r="L21"/>
  <c r="K24"/>
  <c r="L24"/>
  <c r="K25"/>
  <c r="L25"/>
  <c r="K31"/>
  <c r="L31"/>
  <c r="K32"/>
  <c r="L32"/>
  <c r="K33"/>
  <c r="L33"/>
  <c r="K34"/>
  <c r="L34"/>
  <c r="K35"/>
  <c r="L35"/>
  <c r="K41"/>
  <c r="L41"/>
  <c r="K42"/>
  <c r="L42"/>
  <c r="K43"/>
  <c r="L43"/>
  <c r="K44"/>
  <c r="L44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3"/>
  <c r="L93"/>
  <c r="K94"/>
  <c r="L94"/>
  <c r="K95"/>
  <c r="L95"/>
  <c r="K96"/>
  <c r="L96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85"/>
  <c r="L185"/>
  <c r="K188"/>
  <c r="L188"/>
  <c r="K189"/>
  <c r="L189"/>
  <c r="K190"/>
  <c r="L190"/>
  <c r="K205"/>
  <c r="L205"/>
  <c r="K228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40"/>
  <c r="L240"/>
  <c r="K241"/>
  <c r="L241"/>
  <c r="K242"/>
  <c r="L242"/>
  <c r="K248"/>
  <c r="L248"/>
  <c r="K249"/>
  <c r="L249"/>
  <c r="K250"/>
  <c r="L250"/>
  <c r="K251"/>
  <c r="L251"/>
  <c r="K252"/>
  <c r="L252"/>
  <c r="K253"/>
  <c r="L253"/>
  <c r="K254"/>
  <c r="L254"/>
  <c r="K255"/>
  <c r="L255"/>
  <c r="K257"/>
  <c r="L257"/>
  <c r="K258"/>
  <c r="L258"/>
  <c r="K259"/>
  <c r="L259"/>
  <c r="K260"/>
  <c r="L260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C275"/>
  <c r="K275"/>
  <c r="L275"/>
  <c r="L2"/>
  <c r="F8" i="19"/>
  <c r="K21" i="13"/>
  <c r="L21"/>
  <c r="K25"/>
  <c r="L25"/>
  <c r="K26"/>
  <c r="L26"/>
  <c r="K44"/>
  <c r="L44"/>
  <c r="K45"/>
  <c r="L45"/>
  <c r="K46"/>
  <c r="L46"/>
  <c r="K47"/>
  <c r="L47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5"/>
  <c r="L95"/>
  <c r="K96"/>
  <c r="L96"/>
  <c r="K97"/>
  <c r="L97"/>
  <c r="K98"/>
  <c r="L98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90"/>
  <c r="L190"/>
  <c r="K220"/>
  <c r="L220"/>
  <c r="L2"/>
  <c r="F14" i="19"/>
  <c r="K10" i="11"/>
  <c r="L10"/>
  <c r="K21"/>
  <c r="L21"/>
  <c r="K22"/>
  <c r="L22"/>
  <c r="K25"/>
  <c r="L25"/>
  <c r="K26"/>
  <c r="L26"/>
  <c r="L24"/>
  <c r="K29"/>
  <c r="L29"/>
  <c r="K30"/>
  <c r="L30"/>
  <c r="K31"/>
  <c r="L31"/>
  <c r="L28"/>
  <c r="K45"/>
  <c r="L45"/>
  <c r="K46"/>
  <c r="L46"/>
  <c r="K47"/>
  <c r="L47"/>
  <c r="K48"/>
  <c r="L48"/>
  <c r="K56"/>
  <c r="L56"/>
  <c r="K81"/>
  <c r="L81"/>
  <c r="K82"/>
  <c r="L82"/>
  <c r="K83"/>
  <c r="L83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7"/>
  <c r="L97"/>
  <c r="K98"/>
  <c r="L98"/>
  <c r="K99"/>
  <c r="L99"/>
  <c r="K100"/>
  <c r="L100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70"/>
  <c r="L170"/>
  <c r="K171"/>
  <c r="L171"/>
  <c r="K172"/>
  <c r="L172"/>
  <c r="K173"/>
  <c r="L173"/>
  <c r="K174"/>
  <c r="L174"/>
  <c r="K175"/>
  <c r="L175"/>
  <c r="K176"/>
  <c r="L176"/>
  <c r="K177"/>
  <c r="L177"/>
  <c r="K186"/>
  <c r="L186"/>
  <c r="K187"/>
  <c r="L187"/>
  <c r="K190"/>
  <c r="L190"/>
  <c r="K191"/>
  <c r="L191"/>
  <c r="K192"/>
  <c r="L192"/>
  <c r="K195"/>
  <c r="L195"/>
  <c r="K198"/>
  <c r="L198"/>
  <c r="K202"/>
  <c r="L202"/>
  <c r="K203"/>
  <c r="L203"/>
  <c r="K204"/>
  <c r="L204"/>
  <c r="K210"/>
  <c r="L210"/>
  <c r="K213"/>
  <c r="L213"/>
  <c r="L212"/>
  <c r="K216"/>
  <c r="L216"/>
  <c r="K219"/>
  <c r="L219"/>
  <c r="K220"/>
  <c r="L220"/>
  <c r="K221"/>
  <c r="L221"/>
  <c r="K222"/>
  <c r="L222"/>
  <c r="K223"/>
  <c r="L223"/>
  <c r="K224"/>
  <c r="L224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4"/>
  <c r="L244"/>
  <c r="K245"/>
  <c r="L245"/>
  <c r="K246"/>
  <c r="L246"/>
  <c r="K250"/>
  <c r="L250"/>
  <c r="K252"/>
  <c r="L252"/>
  <c r="K253"/>
  <c r="L253"/>
  <c r="K254"/>
  <c r="L254"/>
  <c r="K255"/>
  <c r="L255"/>
  <c r="K256"/>
  <c r="L256"/>
  <c r="K257"/>
  <c r="L257"/>
  <c r="K258"/>
  <c r="L258"/>
  <c r="K259"/>
  <c r="L259"/>
  <c r="K261"/>
  <c r="L261"/>
  <c r="K262"/>
  <c r="L262"/>
  <c r="K263"/>
  <c r="L263"/>
  <c r="K264"/>
  <c r="L264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K275"/>
  <c r="L275"/>
  <c r="K276"/>
  <c r="L276"/>
  <c r="K277"/>
  <c r="L277"/>
  <c r="K278"/>
  <c r="L278"/>
  <c r="K279"/>
  <c r="L279"/>
  <c r="L2"/>
  <c r="F19" i="19"/>
  <c r="F24"/>
  <c r="F36"/>
  <c r="K10" i="3"/>
  <c r="L10"/>
  <c r="K16"/>
  <c r="L16"/>
  <c r="K19"/>
  <c r="L19"/>
  <c r="K20"/>
  <c r="L20"/>
  <c r="K21"/>
  <c r="L21"/>
  <c r="K22"/>
  <c r="L22"/>
  <c r="K25"/>
  <c r="L25"/>
  <c r="K26"/>
  <c r="L26"/>
  <c r="K27"/>
  <c r="L27"/>
  <c r="K30"/>
  <c r="L30"/>
  <c r="K31"/>
  <c r="L31"/>
  <c r="K32"/>
  <c r="L32"/>
  <c r="K33"/>
  <c r="L33"/>
  <c r="K36"/>
  <c r="L36"/>
  <c r="K37"/>
  <c r="L37"/>
  <c r="K38"/>
  <c r="L38"/>
  <c r="K39"/>
  <c r="L39"/>
  <c r="K40"/>
  <c r="L40"/>
  <c r="K46"/>
  <c r="L46"/>
  <c r="K47"/>
  <c r="L47"/>
  <c r="K48"/>
  <c r="L48"/>
  <c r="K49"/>
  <c r="L49"/>
  <c r="K56"/>
  <c r="L56"/>
  <c r="K62"/>
  <c r="L62"/>
  <c r="K63"/>
  <c r="L63"/>
  <c r="K66"/>
  <c r="L66"/>
  <c r="K67"/>
  <c r="L67"/>
  <c r="K81"/>
  <c r="L81"/>
  <c r="K82"/>
  <c r="L82"/>
  <c r="K83"/>
  <c r="L83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102"/>
  <c r="L102"/>
  <c r="K103"/>
  <c r="L103"/>
  <c r="K104"/>
  <c r="L104"/>
  <c r="K107"/>
  <c r="L107"/>
  <c r="K108"/>
  <c r="L108"/>
  <c r="K109"/>
  <c r="L109"/>
  <c r="K110"/>
  <c r="L110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46"/>
  <c r="L146"/>
  <c r="K147"/>
  <c r="L147"/>
  <c r="K149"/>
  <c r="L149"/>
  <c r="K151"/>
  <c r="L151"/>
  <c r="K152"/>
  <c r="L152"/>
  <c r="K154"/>
  <c r="L154"/>
  <c r="K155"/>
  <c r="L155"/>
  <c r="K157"/>
  <c r="L157"/>
  <c r="K158"/>
  <c r="L158"/>
  <c r="K159"/>
  <c r="L159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3"/>
  <c r="L173"/>
  <c r="K174"/>
  <c r="L174"/>
  <c r="K175"/>
  <c r="L175"/>
  <c r="K176"/>
  <c r="L176"/>
  <c r="K178"/>
  <c r="L178"/>
  <c r="K179"/>
  <c r="L179"/>
  <c r="K180"/>
  <c r="L180"/>
  <c r="K181"/>
  <c r="L181"/>
  <c r="K182"/>
  <c r="L182"/>
  <c r="K184"/>
  <c r="L184"/>
  <c r="K185"/>
  <c r="L185"/>
  <c r="K186"/>
  <c r="L186"/>
  <c r="K187"/>
  <c r="L187"/>
  <c r="K188"/>
  <c r="L188"/>
  <c r="K189"/>
  <c r="L189"/>
  <c r="K190"/>
  <c r="L190"/>
  <c r="K192"/>
  <c r="L192"/>
  <c r="K193"/>
  <c r="L193"/>
  <c r="K194"/>
  <c r="L194"/>
  <c r="K195"/>
  <c r="L195"/>
  <c r="K197"/>
  <c r="L197"/>
  <c r="K198"/>
  <c r="L198"/>
  <c r="K199"/>
  <c r="L199"/>
  <c r="K200"/>
  <c r="L200"/>
  <c r="K201"/>
  <c r="L201"/>
  <c r="K203"/>
  <c r="L203"/>
  <c r="K204"/>
  <c r="L204"/>
  <c r="K205"/>
  <c r="L205"/>
  <c r="K206"/>
  <c r="L206"/>
  <c r="K208"/>
  <c r="L208"/>
  <c r="K209"/>
  <c r="L209"/>
  <c r="K210"/>
  <c r="L210"/>
  <c r="K211"/>
  <c r="L211"/>
  <c r="K212"/>
  <c r="L212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5"/>
  <c r="L245"/>
  <c r="K246"/>
  <c r="L246"/>
  <c r="K262"/>
  <c r="L262"/>
  <c r="K263"/>
  <c r="L263"/>
  <c r="K264"/>
  <c r="L264"/>
  <c r="K267"/>
  <c r="L267"/>
  <c r="K268"/>
  <c r="L268"/>
  <c r="K269"/>
  <c r="L269"/>
  <c r="K273"/>
  <c r="L273"/>
  <c r="K274"/>
  <c r="L274"/>
  <c r="K277"/>
  <c r="L277"/>
  <c r="K278"/>
  <c r="L278"/>
  <c r="K279"/>
  <c r="L279"/>
  <c r="K288"/>
  <c r="L288"/>
  <c r="K291"/>
  <c r="L291"/>
  <c r="K292"/>
  <c r="L292"/>
  <c r="K293"/>
  <c r="L293"/>
  <c r="K301"/>
  <c r="L301"/>
  <c r="K302"/>
  <c r="L302"/>
  <c r="K303"/>
  <c r="L303"/>
  <c r="K304"/>
  <c r="L304"/>
  <c r="K305"/>
  <c r="L305"/>
  <c r="K306"/>
  <c r="L306"/>
  <c r="K307"/>
  <c r="L307"/>
  <c r="L2"/>
  <c r="F6" i="19"/>
  <c r="F26"/>
  <c r="F29"/>
  <c r="F41"/>
  <c r="F37"/>
  <c r="F30"/>
  <c r="F42"/>
  <c r="F43"/>
  <c r="F31"/>
  <c r="B15" i="20"/>
  <c r="D14"/>
  <c r="B14"/>
  <c r="D6"/>
  <c r="B6"/>
  <c r="K21" i="2"/>
  <c r="L21"/>
  <c r="K22"/>
  <c r="L22"/>
  <c r="K25"/>
  <c r="L25"/>
  <c r="K26"/>
  <c r="L26"/>
  <c r="K44"/>
  <c r="L44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3"/>
  <c r="L93"/>
  <c r="K94"/>
  <c r="L94"/>
  <c r="K95"/>
  <c r="L95"/>
  <c r="K96"/>
  <c r="L96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6"/>
  <c r="L226"/>
  <c r="K227"/>
  <c r="L227"/>
  <c r="K228"/>
  <c r="L228"/>
  <c r="K234"/>
  <c r="L234"/>
  <c r="K235"/>
  <c r="L235"/>
  <c r="K236"/>
  <c r="L236"/>
  <c r="K237"/>
  <c r="L237"/>
  <c r="K238"/>
  <c r="L238"/>
  <c r="K239"/>
  <c r="L239"/>
  <c r="K240"/>
  <c r="L240"/>
  <c r="K241"/>
  <c r="L241"/>
  <c r="K243"/>
  <c r="L243"/>
  <c r="K244"/>
  <c r="L244"/>
  <c r="K245"/>
  <c r="L245"/>
  <c r="K246"/>
  <c r="L246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C261"/>
  <c r="K261"/>
  <c r="L261"/>
  <c r="L2"/>
  <c r="K22" i="14"/>
  <c r="L22"/>
  <c r="K23"/>
  <c r="L23"/>
  <c r="K24"/>
  <c r="L24"/>
  <c r="K25"/>
  <c r="L25"/>
  <c r="K36"/>
  <c r="L36"/>
  <c r="K37"/>
  <c r="L37"/>
  <c r="K38"/>
  <c r="L38"/>
  <c r="K39"/>
  <c r="L39"/>
  <c r="K40"/>
  <c r="L40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9"/>
  <c r="L149"/>
  <c r="K150"/>
  <c r="L150"/>
  <c r="K152"/>
  <c r="L152"/>
  <c r="K154"/>
  <c r="L154"/>
  <c r="K155"/>
  <c r="L155"/>
  <c r="K157"/>
  <c r="L157"/>
  <c r="K158"/>
  <c r="L158"/>
  <c r="K160"/>
  <c r="L160"/>
  <c r="K161"/>
  <c r="L161"/>
  <c r="K162"/>
  <c r="L162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6"/>
  <c r="L176"/>
  <c r="K177"/>
  <c r="L177"/>
  <c r="K178"/>
  <c r="L178"/>
  <c r="K179"/>
  <c r="L179"/>
  <c r="K181"/>
  <c r="L181"/>
  <c r="K182"/>
  <c r="L182"/>
  <c r="K183"/>
  <c r="L183"/>
  <c r="K184"/>
  <c r="L184"/>
  <c r="K185"/>
  <c r="L185"/>
  <c r="K187"/>
  <c r="L187"/>
  <c r="K188"/>
  <c r="L188"/>
  <c r="K189"/>
  <c r="L189"/>
  <c r="K190"/>
  <c r="L190"/>
  <c r="K191"/>
  <c r="L191"/>
  <c r="K192"/>
  <c r="L192"/>
  <c r="K193"/>
  <c r="L193"/>
  <c r="K195"/>
  <c r="L195"/>
  <c r="K196"/>
  <c r="L196"/>
  <c r="K197"/>
  <c r="L197"/>
  <c r="K198"/>
  <c r="L198"/>
  <c r="K200"/>
  <c r="L200"/>
  <c r="K201"/>
  <c r="L201"/>
  <c r="K202"/>
  <c r="L202"/>
  <c r="K203"/>
  <c r="L203"/>
  <c r="K204"/>
  <c r="L204"/>
  <c r="K206"/>
  <c r="L206"/>
  <c r="K207"/>
  <c r="L207"/>
  <c r="K208"/>
  <c r="L208"/>
  <c r="K209"/>
  <c r="L209"/>
  <c r="K211"/>
  <c r="L211"/>
  <c r="K212"/>
  <c r="L212"/>
  <c r="K213"/>
  <c r="L213"/>
  <c r="K214"/>
  <c r="L214"/>
  <c r="K215"/>
  <c r="L215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L2"/>
  <c r="K43" i="17"/>
  <c r="L43"/>
  <c r="K212"/>
  <c r="L212"/>
  <c r="L2"/>
  <c r="D15" i="20"/>
  <c r="D16"/>
  <c r="D18"/>
  <c r="D19"/>
  <c r="B16"/>
  <c r="B18"/>
  <c r="B19"/>
  <c r="D5"/>
  <c r="D7"/>
  <c r="D9"/>
  <c r="D10"/>
  <c r="B5"/>
  <c r="B7"/>
  <c r="B9"/>
  <c r="B10"/>
  <c r="K44" i="17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86" i="14"/>
  <c r="L286"/>
  <c r="K287"/>
  <c r="L287"/>
  <c r="K288"/>
  <c r="L288"/>
  <c r="K289"/>
  <c r="L289"/>
  <c r="K290"/>
  <c r="L290"/>
  <c r="K291"/>
  <c r="L291"/>
  <c r="K285"/>
  <c r="L285"/>
  <c r="K271"/>
  <c r="L271"/>
  <c r="K228" i="10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9"/>
  <c r="L239"/>
  <c r="K240"/>
  <c r="L240"/>
  <c r="K241"/>
  <c r="L241"/>
  <c r="K244"/>
  <c r="L244"/>
  <c r="K247"/>
  <c r="L247"/>
  <c r="K248"/>
  <c r="L248"/>
  <c r="K249"/>
  <c r="L249"/>
  <c r="K250"/>
  <c r="L250"/>
  <c r="K251"/>
  <c r="L251"/>
  <c r="K252"/>
  <c r="L252"/>
  <c r="K253"/>
  <c r="L253"/>
  <c r="K254"/>
  <c r="L254"/>
  <c r="K256"/>
  <c r="L256"/>
  <c r="K257"/>
  <c r="L257"/>
  <c r="K258"/>
  <c r="L258"/>
  <c r="K259"/>
  <c r="L259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C274"/>
  <c r="K274"/>
  <c r="L274"/>
  <c r="K227"/>
  <c r="L227"/>
  <c r="K80" i="9"/>
  <c r="L80"/>
  <c r="K11" i="11"/>
  <c r="K12"/>
  <c r="K13"/>
  <c r="K14"/>
  <c r="K15"/>
  <c r="K16"/>
  <c r="K17"/>
  <c r="K18"/>
  <c r="K19"/>
  <c r="K20"/>
  <c r="K23"/>
  <c r="K24"/>
  <c r="K27"/>
  <c r="K28"/>
  <c r="K32"/>
  <c r="K33"/>
  <c r="K34"/>
  <c r="K35"/>
  <c r="K36"/>
  <c r="K37"/>
  <c r="K38"/>
  <c r="K39"/>
  <c r="K40"/>
  <c r="K41"/>
  <c r="K42"/>
  <c r="K43"/>
  <c r="K44"/>
  <c r="K49"/>
  <c r="K50"/>
  <c r="K51"/>
  <c r="K52"/>
  <c r="K53"/>
  <c r="K54"/>
  <c r="K55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4"/>
  <c r="K85"/>
  <c r="K86"/>
  <c r="K96"/>
  <c r="K101"/>
  <c r="K102"/>
  <c r="K103"/>
  <c r="K104"/>
  <c r="K105"/>
  <c r="K106"/>
  <c r="K107"/>
  <c r="K108"/>
  <c r="K109"/>
  <c r="K110"/>
  <c r="K111"/>
  <c r="K112"/>
  <c r="K129"/>
  <c r="K130"/>
  <c r="K131"/>
  <c r="K132"/>
  <c r="K133"/>
  <c r="K147"/>
  <c r="K148"/>
  <c r="K149"/>
  <c r="K150"/>
  <c r="K165"/>
  <c r="K166"/>
  <c r="K167"/>
  <c r="K168"/>
  <c r="K169"/>
  <c r="K178"/>
  <c r="K179"/>
  <c r="K180"/>
  <c r="K181"/>
  <c r="K182"/>
  <c r="K183"/>
  <c r="K184"/>
  <c r="K185"/>
  <c r="K188"/>
  <c r="K189"/>
  <c r="K193"/>
  <c r="K194"/>
  <c r="K196"/>
  <c r="K197"/>
  <c r="K199"/>
  <c r="K200"/>
  <c r="K201"/>
  <c r="K205"/>
  <c r="K206"/>
  <c r="K207"/>
  <c r="K208"/>
  <c r="K209"/>
  <c r="K211"/>
  <c r="K212"/>
  <c r="K214"/>
  <c r="K215"/>
  <c r="K217"/>
  <c r="K218"/>
  <c r="K225"/>
  <c r="K226"/>
  <c r="K227"/>
  <c r="K228"/>
  <c r="K229"/>
  <c r="K230"/>
  <c r="K231"/>
  <c r="K243"/>
  <c r="K247"/>
  <c r="K248"/>
  <c r="K249"/>
  <c r="K251"/>
  <c r="K260"/>
  <c r="K265"/>
  <c r="K280"/>
  <c r="K281"/>
  <c r="K282"/>
  <c r="K283"/>
  <c r="K284"/>
  <c r="K285"/>
  <c r="K286"/>
  <c r="K287"/>
  <c r="K288"/>
  <c r="K289"/>
  <c r="K290"/>
  <c r="K291"/>
  <c r="K292"/>
  <c r="K26" i="14"/>
  <c r="K27"/>
  <c r="K28"/>
  <c r="K29"/>
  <c r="K30"/>
  <c r="K31"/>
  <c r="K32"/>
  <c r="K33"/>
  <c r="K34"/>
  <c r="K35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42"/>
  <c r="K143"/>
  <c r="K144"/>
  <c r="K145"/>
  <c r="K146"/>
  <c r="K147"/>
  <c r="K148"/>
  <c r="K151"/>
  <c r="K153"/>
  <c r="K156"/>
  <c r="K159"/>
  <c r="K163"/>
  <c r="K175"/>
  <c r="K180"/>
  <c r="K186"/>
  <c r="K194"/>
  <c r="K199"/>
  <c r="K205"/>
  <c r="K210"/>
  <c r="K216"/>
  <c r="K217"/>
  <c r="K218"/>
  <c r="K219"/>
  <c r="K220"/>
  <c r="K221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2"/>
  <c r="K273"/>
  <c r="K274"/>
  <c r="K275"/>
  <c r="K276"/>
  <c r="K277"/>
  <c r="K278"/>
  <c r="K279"/>
  <c r="K280"/>
  <c r="K281"/>
  <c r="K282"/>
  <c r="K283"/>
  <c r="K284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22" i="13"/>
  <c r="K23"/>
  <c r="K24"/>
  <c r="K27"/>
  <c r="K28"/>
  <c r="K29"/>
  <c r="K30"/>
  <c r="K31"/>
  <c r="K32"/>
  <c r="K33"/>
  <c r="K34"/>
  <c r="K35"/>
  <c r="K36"/>
  <c r="K37"/>
  <c r="K38"/>
  <c r="K39"/>
  <c r="K40"/>
  <c r="K41"/>
  <c r="K42"/>
  <c r="K43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94"/>
  <c r="K99"/>
  <c r="K100"/>
  <c r="K101"/>
  <c r="K102"/>
  <c r="K103"/>
  <c r="K104"/>
  <c r="K105"/>
  <c r="K106"/>
  <c r="K107"/>
  <c r="K108"/>
  <c r="K109"/>
  <c r="K126"/>
  <c r="K127"/>
  <c r="K128"/>
  <c r="K129"/>
  <c r="K130"/>
  <c r="K143"/>
  <c r="K144"/>
  <c r="K145"/>
  <c r="K146"/>
  <c r="K147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1"/>
  <c r="K222"/>
  <c r="K223"/>
  <c r="K224"/>
  <c r="K225"/>
  <c r="K226"/>
  <c r="K227"/>
  <c r="K228"/>
  <c r="K229"/>
  <c r="K230"/>
  <c r="K231"/>
  <c r="K232"/>
  <c r="K238" i="10"/>
  <c r="K242"/>
  <c r="K243"/>
  <c r="K245"/>
  <c r="K246"/>
  <c r="K255"/>
  <c r="K260"/>
  <c r="K22" i="5"/>
  <c r="K23"/>
  <c r="K26"/>
  <c r="K27"/>
  <c r="K28"/>
  <c r="K29"/>
  <c r="K30"/>
  <c r="K36"/>
  <c r="K37"/>
  <c r="K38"/>
  <c r="K39"/>
  <c r="K40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92"/>
  <c r="K97"/>
  <c r="K98"/>
  <c r="K99"/>
  <c r="K100"/>
  <c r="K101"/>
  <c r="K102"/>
  <c r="K103"/>
  <c r="K104"/>
  <c r="K105"/>
  <c r="K106"/>
  <c r="K107"/>
  <c r="K108"/>
  <c r="K109"/>
  <c r="K110"/>
  <c r="K127"/>
  <c r="K128"/>
  <c r="K129"/>
  <c r="K130"/>
  <c r="K131"/>
  <c r="K144"/>
  <c r="K145"/>
  <c r="K146"/>
  <c r="K147"/>
  <c r="K148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6"/>
  <c r="K187"/>
  <c r="K191"/>
  <c r="K192"/>
  <c r="K193"/>
  <c r="K194"/>
  <c r="K195"/>
  <c r="K196"/>
  <c r="K197"/>
  <c r="K198"/>
  <c r="K199"/>
  <c r="K200"/>
  <c r="K201"/>
  <c r="K202"/>
  <c r="K203"/>
  <c r="K204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39"/>
  <c r="K243"/>
  <c r="K244"/>
  <c r="K245"/>
  <c r="K246"/>
  <c r="K247"/>
  <c r="K256"/>
  <c r="K261"/>
  <c r="K276"/>
  <c r="K277"/>
  <c r="K278"/>
  <c r="K279"/>
  <c r="K280"/>
  <c r="K281"/>
  <c r="K282"/>
  <c r="K283"/>
  <c r="K284"/>
  <c r="K285"/>
  <c r="K286"/>
  <c r="K287"/>
  <c r="K17" i="4"/>
  <c r="K18"/>
  <c r="K21"/>
  <c r="K22"/>
  <c r="K25"/>
  <c r="K26"/>
  <c r="K27"/>
  <c r="K28"/>
  <c r="K29"/>
  <c r="K30"/>
  <c r="K31"/>
  <c r="K32"/>
  <c r="K33"/>
  <c r="K34"/>
  <c r="K35"/>
  <c r="K36"/>
  <c r="K37"/>
  <c r="K38"/>
  <c r="K39"/>
  <c r="K40"/>
  <c r="K41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92"/>
  <c r="K97"/>
  <c r="K98"/>
  <c r="K99"/>
  <c r="K100"/>
  <c r="K101"/>
  <c r="K102"/>
  <c r="K103"/>
  <c r="K104"/>
  <c r="K105"/>
  <c r="K106"/>
  <c r="K107"/>
  <c r="K124"/>
  <c r="K125"/>
  <c r="K126"/>
  <c r="K127"/>
  <c r="K128"/>
  <c r="K141"/>
  <c r="K142"/>
  <c r="K143"/>
  <c r="K144"/>
  <c r="K145"/>
  <c r="K160"/>
  <c r="K161"/>
  <c r="K162"/>
  <c r="K163"/>
  <c r="K164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1"/>
  <c r="K192"/>
  <c r="K193"/>
  <c r="K194"/>
  <c r="K195"/>
  <c r="K196"/>
  <c r="K197"/>
  <c r="K198"/>
  <c r="K199"/>
  <c r="K200"/>
  <c r="K201"/>
  <c r="K202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5"/>
  <c r="K226"/>
  <c r="K227"/>
  <c r="K228"/>
  <c r="K229"/>
  <c r="K230"/>
  <c r="K231"/>
  <c r="K232"/>
  <c r="K233"/>
  <c r="K234"/>
  <c r="K235"/>
  <c r="K236"/>
  <c r="K11" i="3"/>
  <c r="K12"/>
  <c r="K13"/>
  <c r="K14"/>
  <c r="K15"/>
  <c r="K17"/>
  <c r="K18"/>
  <c r="K23"/>
  <c r="K24"/>
  <c r="K28"/>
  <c r="K29"/>
  <c r="K34"/>
  <c r="K35"/>
  <c r="K41"/>
  <c r="K42"/>
  <c r="K43"/>
  <c r="K44"/>
  <c r="K45"/>
  <c r="K50"/>
  <c r="K51"/>
  <c r="K52"/>
  <c r="K53"/>
  <c r="K54"/>
  <c r="K55"/>
  <c r="K57"/>
  <c r="K58"/>
  <c r="K59"/>
  <c r="K60"/>
  <c r="K61"/>
  <c r="K64"/>
  <c r="K65"/>
  <c r="K68"/>
  <c r="K69"/>
  <c r="K70"/>
  <c r="K71"/>
  <c r="K72"/>
  <c r="K73"/>
  <c r="K74"/>
  <c r="K75"/>
  <c r="K76"/>
  <c r="K77"/>
  <c r="K78"/>
  <c r="K79"/>
  <c r="K80"/>
  <c r="K84"/>
  <c r="K85"/>
  <c r="K86"/>
  <c r="K98"/>
  <c r="K99"/>
  <c r="K100"/>
  <c r="K101"/>
  <c r="K105"/>
  <c r="K106"/>
  <c r="K111"/>
  <c r="K112"/>
  <c r="K113"/>
  <c r="K139"/>
  <c r="K140"/>
  <c r="K141"/>
  <c r="K142"/>
  <c r="K143"/>
  <c r="K144"/>
  <c r="K145"/>
  <c r="K148"/>
  <c r="K150"/>
  <c r="K153"/>
  <c r="K156"/>
  <c r="K160"/>
  <c r="K172"/>
  <c r="K177"/>
  <c r="K183"/>
  <c r="K191"/>
  <c r="K196"/>
  <c r="K202"/>
  <c r="K207"/>
  <c r="K213"/>
  <c r="K214"/>
  <c r="K215"/>
  <c r="K216"/>
  <c r="K217"/>
  <c r="K218"/>
  <c r="K219"/>
  <c r="K230"/>
  <c r="K231"/>
  <c r="K232"/>
  <c r="K233"/>
  <c r="K243"/>
  <c r="K244"/>
  <c r="K247"/>
  <c r="K248"/>
  <c r="K249"/>
  <c r="K250"/>
  <c r="K251"/>
  <c r="K252"/>
  <c r="K253"/>
  <c r="K254"/>
  <c r="K255"/>
  <c r="K256"/>
  <c r="K257"/>
  <c r="K258"/>
  <c r="K259"/>
  <c r="K260"/>
  <c r="K261"/>
  <c r="K265"/>
  <c r="K266"/>
  <c r="K270"/>
  <c r="K271"/>
  <c r="K272"/>
  <c r="K275"/>
  <c r="K276"/>
  <c r="K280"/>
  <c r="K281"/>
  <c r="K282"/>
  <c r="K283"/>
  <c r="K284"/>
  <c r="K285"/>
  <c r="K286"/>
  <c r="K287"/>
  <c r="K289"/>
  <c r="K290"/>
  <c r="K294"/>
  <c r="K295"/>
  <c r="K296"/>
  <c r="K297"/>
  <c r="K298"/>
  <c r="K299"/>
  <c r="K300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23" i="2"/>
  <c r="K24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92"/>
  <c r="K97"/>
  <c r="K98"/>
  <c r="K99"/>
  <c r="K100"/>
  <c r="K101"/>
  <c r="K102"/>
  <c r="K103"/>
  <c r="K104"/>
  <c r="K105"/>
  <c r="K106"/>
  <c r="K107"/>
  <c r="K124"/>
  <c r="K125"/>
  <c r="K126"/>
  <c r="K127"/>
  <c r="K128"/>
  <c r="K129"/>
  <c r="K142"/>
  <c r="K143"/>
  <c r="K144"/>
  <c r="K145"/>
  <c r="K146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25"/>
  <c r="K229"/>
  <c r="K230"/>
  <c r="K231"/>
  <c r="K232"/>
  <c r="K233"/>
  <c r="K242"/>
  <c r="K247"/>
  <c r="K262"/>
  <c r="K263"/>
  <c r="K264"/>
  <c r="K265"/>
  <c r="K266"/>
  <c r="K267"/>
  <c r="K268"/>
  <c r="K269"/>
  <c r="K270"/>
  <c r="K271"/>
  <c r="K272"/>
  <c r="K273"/>
  <c r="K142" i="1"/>
  <c r="K143"/>
  <c r="K144"/>
  <c r="K145"/>
  <c r="K146"/>
  <c r="K161"/>
  <c r="K162"/>
  <c r="K163"/>
  <c r="K164"/>
  <c r="K173"/>
  <c r="K174"/>
  <c r="K175"/>
  <c r="K176"/>
  <c r="K177"/>
  <c r="K178"/>
  <c r="K179"/>
  <c r="K180"/>
  <c r="K181"/>
  <c r="K182"/>
  <c r="K183"/>
  <c r="K187"/>
  <c r="K188"/>
  <c r="K190"/>
  <c r="K191"/>
  <c r="K193"/>
  <c r="K194"/>
  <c r="K198"/>
  <c r="K199"/>
  <c r="K200"/>
  <c r="K201"/>
  <c r="K202"/>
  <c r="K203"/>
  <c r="K204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32"/>
  <c r="K33"/>
  <c r="K34"/>
  <c r="K35"/>
  <c r="K36"/>
  <c r="K37"/>
  <c r="K38"/>
  <c r="K39"/>
  <c r="K40"/>
  <c r="K41"/>
  <c r="K42"/>
  <c r="K47"/>
  <c r="K48"/>
  <c r="K49"/>
  <c r="K50"/>
  <c r="K51"/>
  <c r="K52"/>
  <c r="K53"/>
  <c r="K54"/>
  <c r="K55"/>
  <c r="K56"/>
  <c r="K57"/>
  <c r="K58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93"/>
  <c r="K98"/>
  <c r="K99"/>
  <c r="K100"/>
  <c r="K101"/>
  <c r="K102"/>
  <c r="K103"/>
  <c r="K104"/>
  <c r="K105"/>
  <c r="K106"/>
  <c r="K107"/>
  <c r="K108"/>
  <c r="K125"/>
  <c r="K126"/>
  <c r="K127"/>
  <c r="K128"/>
  <c r="K129"/>
  <c r="K23"/>
  <c r="K24"/>
  <c r="K25"/>
  <c r="K26"/>
  <c r="K27"/>
  <c r="K31"/>
  <c r="K22"/>
  <c r="C40" i="19"/>
  <c r="F4" i="1"/>
  <c r="F5"/>
  <c r="F6"/>
  <c r="F9"/>
  <c r="F12"/>
  <c r="F15"/>
  <c r="F16"/>
  <c r="F17"/>
  <c r="F20"/>
  <c r="F21"/>
  <c r="F24"/>
  <c r="F25"/>
  <c r="F28"/>
  <c r="F29"/>
  <c r="F30"/>
  <c r="F33"/>
  <c r="F34"/>
  <c r="F35"/>
  <c r="F36"/>
  <c r="F37"/>
  <c r="F40"/>
  <c r="F43"/>
  <c r="F44"/>
  <c r="F45"/>
  <c r="F46"/>
  <c r="F49"/>
  <c r="F50"/>
  <c r="F53"/>
  <c r="F59"/>
  <c r="F60"/>
  <c r="F63"/>
  <c r="F66"/>
  <c r="F69"/>
  <c r="F70"/>
  <c r="F73"/>
  <c r="F74"/>
  <c r="F75"/>
  <c r="F78"/>
  <c r="F79"/>
  <c r="F80"/>
  <c r="F84"/>
  <c r="F85"/>
  <c r="F86"/>
  <c r="F87"/>
  <c r="F88"/>
  <c r="F89"/>
  <c r="F90"/>
  <c r="F91"/>
  <c r="F92"/>
  <c r="F94"/>
  <c r="F95"/>
  <c r="F96"/>
  <c r="F97"/>
  <c r="F100"/>
  <c r="F101"/>
  <c r="F102"/>
  <c r="F109"/>
  <c r="F110"/>
  <c r="F111"/>
  <c r="F112"/>
  <c r="F113"/>
  <c r="F114"/>
  <c r="F115"/>
  <c r="F116"/>
  <c r="F117"/>
  <c r="F118"/>
  <c r="F119"/>
  <c r="F120"/>
  <c r="F121"/>
  <c r="F122"/>
  <c r="F123"/>
  <c r="F124"/>
  <c r="F130"/>
  <c r="F131"/>
  <c r="F132"/>
  <c r="F133"/>
  <c r="F134"/>
  <c r="F135"/>
  <c r="F136"/>
  <c r="F137"/>
  <c r="F138"/>
  <c r="F139"/>
  <c r="F140"/>
  <c r="F141"/>
  <c r="F147"/>
  <c r="F148"/>
  <c r="F149"/>
  <c r="F150"/>
  <c r="F151"/>
  <c r="F152"/>
  <c r="F153"/>
  <c r="F154"/>
  <c r="F155"/>
  <c r="F156"/>
  <c r="F157"/>
  <c r="F158"/>
  <c r="F159"/>
  <c r="F160"/>
  <c r="F165"/>
  <c r="F166"/>
  <c r="F167"/>
  <c r="F168"/>
  <c r="F169"/>
  <c r="F170"/>
  <c r="F171"/>
  <c r="F172"/>
  <c r="F180"/>
  <c r="F181"/>
  <c r="F184"/>
  <c r="F185"/>
  <c r="F186"/>
  <c r="F189"/>
  <c r="F192"/>
  <c r="F195"/>
  <c r="F196"/>
  <c r="F197"/>
  <c r="F200"/>
  <c r="F201"/>
  <c r="F202"/>
  <c r="F205"/>
  <c r="F208"/>
  <c r="F211"/>
  <c r="F214"/>
  <c r="F215"/>
  <c r="F216"/>
  <c r="F217"/>
  <c r="F218"/>
  <c r="F219"/>
  <c r="F225"/>
  <c r="F228"/>
  <c r="F231"/>
  <c r="F234"/>
  <c r="F237"/>
  <c r="F2"/>
  <c r="D4" i="19"/>
  <c r="F5" i="2"/>
  <c r="F6"/>
  <c r="F7"/>
  <c r="F10"/>
  <c r="F13"/>
  <c r="F16"/>
  <c r="F17"/>
  <c r="F18"/>
  <c r="F21"/>
  <c r="F22"/>
  <c r="F25"/>
  <c r="F26"/>
  <c r="F29"/>
  <c r="F30"/>
  <c r="F31"/>
  <c r="F34"/>
  <c r="F35"/>
  <c r="F36"/>
  <c r="F37"/>
  <c r="F38"/>
  <c r="F41"/>
  <c r="F44"/>
  <c r="F47"/>
  <c r="F48"/>
  <c r="F51"/>
  <c r="F57"/>
  <c r="F58"/>
  <c r="F61"/>
  <c r="F64"/>
  <c r="F68"/>
  <c r="F69"/>
  <c r="F72"/>
  <c r="F73"/>
  <c r="F74"/>
  <c r="F77"/>
  <c r="F78"/>
  <c r="F79"/>
  <c r="F83"/>
  <c r="F84"/>
  <c r="F85"/>
  <c r="F86"/>
  <c r="F87"/>
  <c r="F88"/>
  <c r="F89"/>
  <c r="F90"/>
  <c r="F91"/>
  <c r="F93"/>
  <c r="F94"/>
  <c r="F95"/>
  <c r="F96"/>
  <c r="F99"/>
  <c r="F100"/>
  <c r="F101"/>
  <c r="F104"/>
  <c r="F108"/>
  <c r="F109"/>
  <c r="F110"/>
  <c r="F111"/>
  <c r="F112"/>
  <c r="F113"/>
  <c r="F114"/>
  <c r="F115"/>
  <c r="F116"/>
  <c r="F117"/>
  <c r="F118"/>
  <c r="F119"/>
  <c r="F120"/>
  <c r="F121"/>
  <c r="F122"/>
  <c r="F123"/>
  <c r="F130"/>
  <c r="F131"/>
  <c r="F132"/>
  <c r="F133"/>
  <c r="F134"/>
  <c r="F135"/>
  <c r="F136"/>
  <c r="F137"/>
  <c r="F138"/>
  <c r="F139"/>
  <c r="F140"/>
  <c r="F141"/>
  <c r="F147"/>
  <c r="F148"/>
  <c r="F149"/>
  <c r="F150"/>
  <c r="F151"/>
  <c r="F152"/>
  <c r="F153"/>
  <c r="F154"/>
  <c r="F155"/>
  <c r="F156"/>
  <c r="F157"/>
  <c r="F158"/>
  <c r="F159"/>
  <c r="F160"/>
  <c r="F165"/>
  <c r="F166"/>
  <c r="F167"/>
  <c r="F168"/>
  <c r="F169"/>
  <c r="F170"/>
  <c r="F171"/>
  <c r="F172"/>
  <c r="F180"/>
  <c r="F183"/>
  <c r="F186"/>
  <c r="F189"/>
  <c r="F192"/>
  <c r="F195"/>
  <c r="F196"/>
  <c r="F197"/>
  <c r="F200"/>
  <c r="F203"/>
  <c r="F206"/>
  <c r="F207"/>
  <c r="F214"/>
  <c r="F215"/>
  <c r="F216"/>
  <c r="F217"/>
  <c r="F218"/>
  <c r="F219"/>
  <c r="F220"/>
  <c r="F221"/>
  <c r="F222"/>
  <c r="F223"/>
  <c r="F224"/>
  <c r="F226"/>
  <c r="F227"/>
  <c r="F228"/>
  <c r="F234"/>
  <c r="F235"/>
  <c r="F236"/>
  <c r="F237"/>
  <c r="F238"/>
  <c r="F239"/>
  <c r="F240"/>
  <c r="F241"/>
  <c r="F243"/>
  <c r="F244"/>
  <c r="F245"/>
  <c r="F246"/>
  <c r="F248"/>
  <c r="F249"/>
  <c r="F250"/>
  <c r="F251"/>
  <c r="F252"/>
  <c r="F253"/>
  <c r="F254"/>
  <c r="F255"/>
  <c r="F256"/>
  <c r="F257"/>
  <c r="F258"/>
  <c r="F259"/>
  <c r="F260"/>
  <c r="F261"/>
  <c r="F264"/>
  <c r="F267"/>
  <c r="F270"/>
  <c r="F273"/>
  <c r="F2"/>
  <c r="D5" i="19"/>
  <c r="F5" i="3"/>
  <c r="F6"/>
  <c r="F7"/>
  <c r="F10"/>
  <c r="F13"/>
  <c r="F16"/>
  <c r="F19"/>
  <c r="F20"/>
  <c r="F21"/>
  <c r="F22"/>
  <c r="F25"/>
  <c r="F26"/>
  <c r="F27"/>
  <c r="F30"/>
  <c r="F31"/>
  <c r="F32"/>
  <c r="F33"/>
  <c r="F36"/>
  <c r="F37"/>
  <c r="F38"/>
  <c r="F39"/>
  <c r="F40"/>
  <c r="F43"/>
  <c r="F46"/>
  <c r="F47"/>
  <c r="F48"/>
  <c r="F49"/>
  <c r="F52"/>
  <c r="F53"/>
  <c r="F56"/>
  <c r="F62"/>
  <c r="F63"/>
  <c r="F66"/>
  <c r="F67"/>
  <c r="F70"/>
  <c r="F73"/>
  <c r="F76"/>
  <c r="F77"/>
  <c r="F78"/>
  <c r="F81"/>
  <c r="F82"/>
  <c r="F83"/>
  <c r="F87"/>
  <c r="F88"/>
  <c r="F89"/>
  <c r="F90"/>
  <c r="F91"/>
  <c r="F92"/>
  <c r="F93"/>
  <c r="F94"/>
  <c r="F95"/>
  <c r="F96"/>
  <c r="F97"/>
  <c r="F102"/>
  <c r="F103"/>
  <c r="F104"/>
  <c r="F107"/>
  <c r="F108"/>
  <c r="F109"/>
  <c r="F110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46"/>
  <c r="F147"/>
  <c r="F149"/>
  <c r="F151"/>
  <c r="F152"/>
  <c r="F154"/>
  <c r="F155"/>
  <c r="F157"/>
  <c r="F158"/>
  <c r="F159"/>
  <c r="F161"/>
  <c r="F162"/>
  <c r="F163"/>
  <c r="F164"/>
  <c r="F165"/>
  <c r="F166"/>
  <c r="F167"/>
  <c r="F168"/>
  <c r="F169"/>
  <c r="F170"/>
  <c r="F171"/>
  <c r="F173"/>
  <c r="F174"/>
  <c r="F175"/>
  <c r="F176"/>
  <c r="F178"/>
  <c r="F179"/>
  <c r="F180"/>
  <c r="F181"/>
  <c r="F182"/>
  <c r="F184"/>
  <c r="F185"/>
  <c r="F186"/>
  <c r="F187"/>
  <c r="F188"/>
  <c r="F189"/>
  <c r="F190"/>
  <c r="F192"/>
  <c r="F193"/>
  <c r="F194"/>
  <c r="F195"/>
  <c r="F197"/>
  <c r="F198"/>
  <c r="F199"/>
  <c r="F200"/>
  <c r="F201"/>
  <c r="F203"/>
  <c r="F204"/>
  <c r="F205"/>
  <c r="F206"/>
  <c r="F208"/>
  <c r="F209"/>
  <c r="F210"/>
  <c r="F211"/>
  <c r="F212"/>
  <c r="F220"/>
  <c r="F221"/>
  <c r="F222"/>
  <c r="F223"/>
  <c r="F224"/>
  <c r="F225"/>
  <c r="F226"/>
  <c r="F227"/>
  <c r="F228"/>
  <c r="F229"/>
  <c r="F234"/>
  <c r="F235"/>
  <c r="F236"/>
  <c r="F237"/>
  <c r="F238"/>
  <c r="F239"/>
  <c r="F240"/>
  <c r="F241"/>
  <c r="F242"/>
  <c r="F245"/>
  <c r="F246"/>
  <c r="F257"/>
  <c r="F258"/>
  <c r="F259"/>
  <c r="F262"/>
  <c r="F263"/>
  <c r="F264"/>
  <c r="F267"/>
  <c r="F268"/>
  <c r="F269"/>
  <c r="F273"/>
  <c r="F274"/>
  <c r="F277"/>
  <c r="F278"/>
  <c r="F279"/>
  <c r="F282"/>
  <c r="F283"/>
  <c r="F284"/>
  <c r="F288"/>
  <c r="F291"/>
  <c r="F292"/>
  <c r="F293"/>
  <c r="F301"/>
  <c r="F302"/>
  <c r="F303"/>
  <c r="F304"/>
  <c r="F305"/>
  <c r="F306"/>
  <c r="F307"/>
  <c r="F310"/>
  <c r="F314"/>
  <c r="F317"/>
  <c r="F320"/>
  <c r="F323"/>
  <c r="F326"/>
  <c r="F329"/>
  <c r="F2"/>
  <c r="D6" i="19"/>
  <c r="F5" i="4"/>
  <c r="F6"/>
  <c r="F7"/>
  <c r="F10"/>
  <c r="F13"/>
  <c r="F16"/>
  <c r="F19"/>
  <c r="F20"/>
  <c r="F23"/>
  <c r="F24"/>
  <c r="F27"/>
  <c r="F28"/>
  <c r="F29"/>
  <c r="F32"/>
  <c r="F33"/>
  <c r="F34"/>
  <c r="F35"/>
  <c r="F36"/>
  <c r="F39"/>
  <c r="F42"/>
  <c r="F43"/>
  <c r="F44"/>
  <c r="F45"/>
  <c r="F48"/>
  <c r="F49"/>
  <c r="F52"/>
  <c r="F58"/>
  <c r="F59"/>
  <c r="F62"/>
  <c r="F65"/>
  <c r="F68"/>
  <c r="F69"/>
  <c r="F72"/>
  <c r="F73"/>
  <c r="F74"/>
  <c r="F77"/>
  <c r="F78"/>
  <c r="F79"/>
  <c r="F83"/>
  <c r="F84"/>
  <c r="F85"/>
  <c r="F86"/>
  <c r="F87"/>
  <c r="F88"/>
  <c r="F89"/>
  <c r="F90"/>
  <c r="F91"/>
  <c r="F93"/>
  <c r="F94"/>
  <c r="F95"/>
  <c r="F96"/>
  <c r="F99"/>
  <c r="F100"/>
  <c r="F101"/>
  <c r="F104"/>
  <c r="F108"/>
  <c r="F109"/>
  <c r="F110"/>
  <c r="F111"/>
  <c r="F112"/>
  <c r="F113"/>
  <c r="F114"/>
  <c r="F115"/>
  <c r="F116"/>
  <c r="F117"/>
  <c r="F118"/>
  <c r="F119"/>
  <c r="F120"/>
  <c r="F121"/>
  <c r="F122"/>
  <c r="F123"/>
  <c r="F129"/>
  <c r="F130"/>
  <c r="F131"/>
  <c r="F132"/>
  <c r="F133"/>
  <c r="F134"/>
  <c r="F135"/>
  <c r="F136"/>
  <c r="F137"/>
  <c r="F138"/>
  <c r="F139"/>
  <c r="F140"/>
  <c r="F146"/>
  <c r="F147"/>
  <c r="F148"/>
  <c r="F149"/>
  <c r="F150"/>
  <c r="F151"/>
  <c r="F152"/>
  <c r="F153"/>
  <c r="F154"/>
  <c r="F155"/>
  <c r="F156"/>
  <c r="F157"/>
  <c r="F158"/>
  <c r="F159"/>
  <c r="F165"/>
  <c r="F166"/>
  <c r="F167"/>
  <c r="F168"/>
  <c r="F169"/>
  <c r="F170"/>
  <c r="F171"/>
  <c r="F172"/>
  <c r="F180"/>
  <c r="F181"/>
  <c r="F184"/>
  <c r="F187"/>
  <c r="F190"/>
  <c r="F193"/>
  <c r="F194"/>
  <c r="F195"/>
  <c r="F198"/>
  <c r="F199"/>
  <c r="F200"/>
  <c r="F203"/>
  <c r="F206"/>
  <c r="F209"/>
  <c r="F212"/>
  <c r="F213"/>
  <c r="F214"/>
  <c r="F215"/>
  <c r="F216"/>
  <c r="F217"/>
  <c r="F224"/>
  <c r="F227"/>
  <c r="F230"/>
  <c r="F233"/>
  <c r="F236"/>
  <c r="F2"/>
  <c r="D7" i="19"/>
  <c r="F5" i="5"/>
  <c r="F6"/>
  <c r="F7"/>
  <c r="F10"/>
  <c r="F13"/>
  <c r="F14"/>
  <c r="F15"/>
  <c r="F18"/>
  <c r="F21"/>
  <c r="F24"/>
  <c r="F25"/>
  <c r="F28"/>
  <c r="F31"/>
  <c r="F32"/>
  <c r="F33"/>
  <c r="F34"/>
  <c r="F35"/>
  <c r="F38"/>
  <c r="F41"/>
  <c r="F42"/>
  <c r="F43"/>
  <c r="F44"/>
  <c r="F47"/>
  <c r="F48"/>
  <c r="F51"/>
  <c r="F57"/>
  <c r="F58"/>
  <c r="F61"/>
  <c r="F64"/>
  <c r="F67"/>
  <c r="F68"/>
  <c r="F71"/>
  <c r="F72"/>
  <c r="F73"/>
  <c r="F76"/>
  <c r="F77"/>
  <c r="F78"/>
  <c r="F83"/>
  <c r="F84"/>
  <c r="F85"/>
  <c r="F86"/>
  <c r="F87"/>
  <c r="F88"/>
  <c r="F89"/>
  <c r="F90"/>
  <c r="F91"/>
  <c r="F93"/>
  <c r="F94"/>
  <c r="F95"/>
  <c r="F96"/>
  <c r="F99"/>
  <c r="F100"/>
  <c r="F101"/>
  <c r="F104"/>
  <c r="F105"/>
  <c r="F106"/>
  <c r="F107"/>
  <c r="F111"/>
  <c r="F112"/>
  <c r="F113"/>
  <c r="F114"/>
  <c r="F115"/>
  <c r="F116"/>
  <c r="F117"/>
  <c r="F118"/>
  <c r="F119"/>
  <c r="F120"/>
  <c r="F121"/>
  <c r="F122"/>
  <c r="F123"/>
  <c r="F124"/>
  <c r="F125"/>
  <c r="F126"/>
  <c r="F132"/>
  <c r="F133"/>
  <c r="F134"/>
  <c r="F135"/>
  <c r="F136"/>
  <c r="F137"/>
  <c r="F138"/>
  <c r="F139"/>
  <c r="F140"/>
  <c r="F141"/>
  <c r="F142"/>
  <c r="F143"/>
  <c r="F149"/>
  <c r="F150"/>
  <c r="F151"/>
  <c r="F152"/>
  <c r="F153"/>
  <c r="F154"/>
  <c r="F155"/>
  <c r="F156"/>
  <c r="F157"/>
  <c r="F158"/>
  <c r="F159"/>
  <c r="F160"/>
  <c r="F161"/>
  <c r="F162"/>
  <c r="F167"/>
  <c r="F168"/>
  <c r="F169"/>
  <c r="F170"/>
  <c r="F171"/>
  <c r="F172"/>
  <c r="F173"/>
  <c r="F174"/>
  <c r="F182"/>
  <c r="F185"/>
  <c r="F188"/>
  <c r="F189"/>
  <c r="F190"/>
  <c r="F194"/>
  <c r="F197"/>
  <c r="F200"/>
  <c r="F201"/>
  <c r="F202"/>
  <c r="F205"/>
  <c r="F208"/>
  <c r="F211"/>
  <c r="F214"/>
  <c r="F215"/>
  <c r="F216"/>
  <c r="F217"/>
  <c r="F218"/>
  <c r="F219"/>
  <c r="F228"/>
  <c r="F229"/>
  <c r="F230"/>
  <c r="F231"/>
  <c r="F232"/>
  <c r="F233"/>
  <c r="F234"/>
  <c r="F235"/>
  <c r="F236"/>
  <c r="F237"/>
  <c r="F238"/>
  <c r="F240"/>
  <c r="F241"/>
  <c r="F242"/>
  <c r="F248"/>
  <c r="F249"/>
  <c r="F250"/>
  <c r="F251"/>
  <c r="F252"/>
  <c r="F253"/>
  <c r="F254"/>
  <c r="F255"/>
  <c r="F257"/>
  <c r="F258"/>
  <c r="F259"/>
  <c r="F260"/>
  <c r="F262"/>
  <c r="F263"/>
  <c r="F264"/>
  <c r="F265"/>
  <c r="F266"/>
  <c r="F267"/>
  <c r="F268"/>
  <c r="F269"/>
  <c r="F270"/>
  <c r="F271"/>
  <c r="F272"/>
  <c r="F273"/>
  <c r="F274"/>
  <c r="F275"/>
  <c r="F278"/>
  <c r="F281"/>
  <c r="F284"/>
  <c r="F287"/>
  <c r="F2"/>
  <c r="D8" i="19"/>
  <c r="F5" i="6"/>
  <c r="F6"/>
  <c r="F7"/>
  <c r="F10"/>
  <c r="F13"/>
  <c r="F16"/>
  <c r="F19"/>
  <c r="F20"/>
  <c r="F21"/>
  <c r="F22"/>
  <c r="F25"/>
  <c r="F26"/>
  <c r="F27"/>
  <c r="F30"/>
  <c r="F33"/>
  <c r="F34"/>
  <c r="F35"/>
  <c r="F36"/>
  <c r="F37"/>
  <c r="F40"/>
  <c r="F43"/>
  <c r="F44"/>
  <c r="F45"/>
  <c r="F46"/>
  <c r="F49"/>
  <c r="F50"/>
  <c r="F53"/>
  <c r="F60"/>
  <c r="F61"/>
  <c r="F64"/>
  <c r="F65"/>
  <c r="F68"/>
  <c r="F71"/>
  <c r="F74"/>
  <c r="F75"/>
  <c r="F76"/>
  <c r="F79"/>
  <c r="F80"/>
  <c r="F81"/>
  <c r="F86"/>
  <c r="F87"/>
  <c r="F88"/>
  <c r="F89"/>
  <c r="F90"/>
  <c r="F91"/>
  <c r="F92"/>
  <c r="F93"/>
  <c r="F94"/>
  <c r="F96"/>
  <c r="F97"/>
  <c r="F98"/>
  <c r="F99"/>
  <c r="F103"/>
  <c r="F104"/>
  <c r="F105"/>
  <c r="F108"/>
  <c r="F109"/>
  <c r="F110"/>
  <c r="F111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7"/>
  <c r="F148"/>
  <c r="F150"/>
  <c r="F152"/>
  <c r="F153"/>
  <c r="F155"/>
  <c r="F156"/>
  <c r="F158"/>
  <c r="F159"/>
  <c r="F160"/>
  <c r="F162"/>
  <c r="F163"/>
  <c r="F164"/>
  <c r="F165"/>
  <c r="F166"/>
  <c r="F167"/>
  <c r="F168"/>
  <c r="F169"/>
  <c r="F170"/>
  <c r="F171"/>
  <c r="F172"/>
  <c r="F174"/>
  <c r="F175"/>
  <c r="F176"/>
  <c r="F177"/>
  <c r="F179"/>
  <c r="F180"/>
  <c r="F181"/>
  <c r="F182"/>
  <c r="F183"/>
  <c r="F185"/>
  <c r="F186"/>
  <c r="F187"/>
  <c r="F188"/>
  <c r="F189"/>
  <c r="F190"/>
  <c r="F191"/>
  <c r="F193"/>
  <c r="F194"/>
  <c r="F195"/>
  <c r="F196"/>
  <c r="F198"/>
  <c r="F199"/>
  <c r="F200"/>
  <c r="F201"/>
  <c r="F202"/>
  <c r="F204"/>
  <c r="F205"/>
  <c r="F206"/>
  <c r="F207"/>
  <c r="F209"/>
  <c r="F210"/>
  <c r="F211"/>
  <c r="F212"/>
  <c r="F213"/>
  <c r="F220"/>
  <c r="F221"/>
  <c r="F222"/>
  <c r="F223"/>
  <c r="F224"/>
  <c r="F225"/>
  <c r="F226"/>
  <c r="F227"/>
  <c r="F228"/>
  <c r="F229"/>
  <c r="F234"/>
  <c r="F235"/>
  <c r="F236"/>
  <c r="F237"/>
  <c r="F238"/>
  <c r="F239"/>
  <c r="F240"/>
  <c r="F241"/>
  <c r="F242"/>
  <c r="F245"/>
  <c r="F246"/>
  <c r="F258"/>
  <c r="F261"/>
  <c r="F262"/>
  <c r="F263"/>
  <c r="F266"/>
  <c r="F267"/>
  <c r="F268"/>
  <c r="F272"/>
  <c r="F275"/>
  <c r="F276"/>
  <c r="F277"/>
  <c r="F280"/>
  <c r="F281"/>
  <c r="F282"/>
  <c r="F286"/>
  <c r="F289"/>
  <c r="F290"/>
  <c r="F291"/>
  <c r="F300"/>
  <c r="F301"/>
  <c r="F302"/>
  <c r="F303"/>
  <c r="F304"/>
  <c r="F305"/>
  <c r="F306"/>
  <c r="F309"/>
  <c r="F312"/>
  <c r="F315"/>
  <c r="F318"/>
  <c r="F321"/>
  <c r="F324"/>
  <c r="F327"/>
  <c r="F2"/>
  <c r="D9" i="19"/>
  <c r="F5" i="8"/>
  <c r="F6"/>
  <c r="F7"/>
  <c r="F10"/>
  <c r="F13"/>
  <c r="F14"/>
  <c r="F15"/>
  <c r="F18"/>
  <c r="F21"/>
  <c r="F22"/>
  <c r="F25"/>
  <c r="F26"/>
  <c r="F29"/>
  <c r="F32"/>
  <c r="F33"/>
  <c r="F34"/>
  <c r="F35"/>
  <c r="F36"/>
  <c r="F39"/>
  <c r="F42"/>
  <c r="F43"/>
  <c r="F44"/>
  <c r="F45"/>
  <c r="F48"/>
  <c r="F49"/>
  <c r="F52"/>
  <c r="F58"/>
  <c r="F59"/>
  <c r="F62"/>
  <c r="F65"/>
  <c r="F68"/>
  <c r="F69"/>
  <c r="F72"/>
  <c r="F73"/>
  <c r="F74"/>
  <c r="F77"/>
  <c r="F78"/>
  <c r="F79"/>
  <c r="F83"/>
  <c r="F84"/>
  <c r="F85"/>
  <c r="F86"/>
  <c r="F87"/>
  <c r="F88"/>
  <c r="F89"/>
  <c r="F90"/>
  <c r="F91"/>
  <c r="F93"/>
  <c r="F94"/>
  <c r="F95"/>
  <c r="F96"/>
  <c r="F99"/>
  <c r="F100"/>
  <c r="F101"/>
  <c r="F104"/>
  <c r="F105"/>
  <c r="F106"/>
  <c r="F107"/>
  <c r="F111"/>
  <c r="F112"/>
  <c r="F113"/>
  <c r="F114"/>
  <c r="F115"/>
  <c r="F116"/>
  <c r="F117"/>
  <c r="F118"/>
  <c r="F119"/>
  <c r="F120"/>
  <c r="F121"/>
  <c r="F122"/>
  <c r="F123"/>
  <c r="F124"/>
  <c r="F125"/>
  <c r="F126"/>
  <c r="F132"/>
  <c r="F133"/>
  <c r="F134"/>
  <c r="F135"/>
  <c r="F136"/>
  <c r="F137"/>
  <c r="F138"/>
  <c r="F139"/>
  <c r="F140"/>
  <c r="F141"/>
  <c r="F142"/>
  <c r="F143"/>
  <c r="F149"/>
  <c r="F150"/>
  <c r="F151"/>
  <c r="F152"/>
  <c r="F153"/>
  <c r="F154"/>
  <c r="F155"/>
  <c r="F156"/>
  <c r="F157"/>
  <c r="F158"/>
  <c r="F159"/>
  <c r="F160"/>
  <c r="F161"/>
  <c r="F162"/>
  <c r="F168"/>
  <c r="F169"/>
  <c r="F170"/>
  <c r="F171"/>
  <c r="F172"/>
  <c r="F173"/>
  <c r="F174"/>
  <c r="F183"/>
  <c r="F186"/>
  <c r="F189"/>
  <c r="F190"/>
  <c r="F191"/>
  <c r="F195"/>
  <c r="F198"/>
  <c r="F201"/>
  <c r="F202"/>
  <c r="F203"/>
  <c r="F206"/>
  <c r="F209"/>
  <c r="F212"/>
  <c r="F215"/>
  <c r="F216"/>
  <c r="F217"/>
  <c r="F218"/>
  <c r="F219"/>
  <c r="F220"/>
  <c r="F228"/>
  <c r="F229"/>
  <c r="F230"/>
  <c r="F231"/>
  <c r="F232"/>
  <c r="F233"/>
  <c r="F234"/>
  <c r="F235"/>
  <c r="F236"/>
  <c r="F237"/>
  <c r="F238"/>
  <c r="F240"/>
  <c r="F241"/>
  <c r="F242"/>
  <c r="F248"/>
  <c r="F249"/>
  <c r="F250"/>
  <c r="F251"/>
  <c r="F252"/>
  <c r="F253"/>
  <c r="F254"/>
  <c r="F255"/>
  <c r="F257"/>
  <c r="F258"/>
  <c r="F259"/>
  <c r="F260"/>
  <c r="F262"/>
  <c r="F263"/>
  <c r="F264"/>
  <c r="F265"/>
  <c r="F266"/>
  <c r="F267"/>
  <c r="F268"/>
  <c r="F269"/>
  <c r="F270"/>
  <c r="F271"/>
  <c r="F272"/>
  <c r="F273"/>
  <c r="F274"/>
  <c r="C275"/>
  <c r="F275"/>
  <c r="F278"/>
  <c r="F281"/>
  <c r="F284"/>
  <c r="F287"/>
  <c r="F2"/>
  <c r="D10" i="19"/>
  <c r="F5" i="9"/>
  <c r="F6"/>
  <c r="F7"/>
  <c r="F10"/>
  <c r="F13"/>
  <c r="F14"/>
  <c r="F15"/>
  <c r="F18"/>
  <c r="F21"/>
  <c r="F24"/>
  <c r="F27"/>
  <c r="F30"/>
  <c r="F31"/>
  <c r="F32"/>
  <c r="F33"/>
  <c r="F34"/>
  <c r="F37"/>
  <c r="F40"/>
  <c r="F41"/>
  <c r="F42"/>
  <c r="F43"/>
  <c r="F46"/>
  <c r="F47"/>
  <c r="F50"/>
  <c r="F56"/>
  <c r="F57"/>
  <c r="F60"/>
  <c r="F63"/>
  <c r="F66"/>
  <c r="F67"/>
  <c r="F70"/>
  <c r="F71"/>
  <c r="F72"/>
  <c r="F75"/>
  <c r="F76"/>
  <c r="F77"/>
  <c r="F80"/>
  <c r="F83"/>
  <c r="F84"/>
  <c r="F85"/>
  <c r="F88"/>
  <c r="F89"/>
  <c r="F90"/>
  <c r="F91"/>
  <c r="F95"/>
  <c r="F96"/>
  <c r="F97"/>
  <c r="F98"/>
  <c r="F99"/>
  <c r="F100"/>
  <c r="F101"/>
  <c r="F102"/>
  <c r="F103"/>
  <c r="F104"/>
  <c r="F105"/>
  <c r="F106"/>
  <c r="F107"/>
  <c r="F108"/>
  <c r="F109"/>
  <c r="F110"/>
  <c r="F116"/>
  <c r="F117"/>
  <c r="F118"/>
  <c r="F119"/>
  <c r="F120"/>
  <c r="F121"/>
  <c r="F122"/>
  <c r="F123"/>
  <c r="F124"/>
  <c r="F125"/>
  <c r="F126"/>
  <c r="F127"/>
  <c r="F133"/>
  <c r="F134"/>
  <c r="F135"/>
  <c r="F136"/>
  <c r="F137"/>
  <c r="F138"/>
  <c r="F139"/>
  <c r="F140"/>
  <c r="F141"/>
  <c r="F142"/>
  <c r="F143"/>
  <c r="F144"/>
  <c r="F145"/>
  <c r="F146"/>
  <c r="F152"/>
  <c r="F153"/>
  <c r="F154"/>
  <c r="F155"/>
  <c r="F156"/>
  <c r="F157"/>
  <c r="F158"/>
  <c r="F159"/>
  <c r="F167"/>
  <c r="F170"/>
  <c r="F173"/>
  <c r="F177"/>
  <c r="F180"/>
  <c r="F183"/>
  <c r="F184"/>
  <c r="F185"/>
  <c r="F188"/>
  <c r="F191"/>
  <c r="F194"/>
  <c r="F197"/>
  <c r="F198"/>
  <c r="F199"/>
  <c r="F200"/>
  <c r="F201"/>
  <c r="F202"/>
  <c r="F209"/>
  <c r="F210"/>
  <c r="F211"/>
  <c r="F212"/>
  <c r="F213"/>
  <c r="F214"/>
  <c r="F215"/>
  <c r="F216"/>
  <c r="F217"/>
  <c r="F218"/>
  <c r="F219"/>
  <c r="F221"/>
  <c r="F222"/>
  <c r="F223"/>
  <c r="F229"/>
  <c r="F230"/>
  <c r="F231"/>
  <c r="F232"/>
  <c r="F233"/>
  <c r="F234"/>
  <c r="F235"/>
  <c r="F236"/>
  <c r="F238"/>
  <c r="F239"/>
  <c r="F240"/>
  <c r="F241"/>
  <c r="F243"/>
  <c r="F244"/>
  <c r="F245"/>
  <c r="F246"/>
  <c r="F247"/>
  <c r="F248"/>
  <c r="F249"/>
  <c r="F250"/>
  <c r="F251"/>
  <c r="F252"/>
  <c r="F253"/>
  <c r="F254"/>
  <c r="F255"/>
  <c r="C256"/>
  <c r="F256"/>
  <c r="F259"/>
  <c r="F262"/>
  <c r="F265"/>
  <c r="F268"/>
  <c r="F2"/>
  <c r="D11" i="19"/>
  <c r="F5" i="10"/>
  <c r="F6"/>
  <c r="F7"/>
  <c r="F10"/>
  <c r="F13"/>
  <c r="F14"/>
  <c r="F15"/>
  <c r="F18"/>
  <c r="F21"/>
  <c r="F22"/>
  <c r="F25"/>
  <c r="F28"/>
  <c r="F31"/>
  <c r="F32"/>
  <c r="F33"/>
  <c r="F34"/>
  <c r="F35"/>
  <c r="F38"/>
  <c r="F41"/>
  <c r="F42"/>
  <c r="F43"/>
  <c r="F44"/>
  <c r="F47"/>
  <c r="F48"/>
  <c r="F51"/>
  <c r="F57"/>
  <c r="F58"/>
  <c r="F61"/>
  <c r="F64"/>
  <c r="F67"/>
  <c r="F70"/>
  <c r="F71"/>
  <c r="F72"/>
  <c r="F75"/>
  <c r="F76"/>
  <c r="F77"/>
  <c r="F82"/>
  <c r="F83"/>
  <c r="F84"/>
  <c r="F85"/>
  <c r="F86"/>
  <c r="F87"/>
  <c r="F88"/>
  <c r="F89"/>
  <c r="F90"/>
  <c r="F92"/>
  <c r="F93"/>
  <c r="F94"/>
  <c r="F95"/>
  <c r="F98"/>
  <c r="F99"/>
  <c r="F100"/>
  <c r="F103"/>
  <c r="F104"/>
  <c r="F105"/>
  <c r="F106"/>
  <c r="F110"/>
  <c r="F111"/>
  <c r="F112"/>
  <c r="F113"/>
  <c r="F114"/>
  <c r="F115"/>
  <c r="F116"/>
  <c r="F117"/>
  <c r="F118"/>
  <c r="F119"/>
  <c r="F120"/>
  <c r="F121"/>
  <c r="F122"/>
  <c r="F123"/>
  <c r="F124"/>
  <c r="F125"/>
  <c r="F131"/>
  <c r="F132"/>
  <c r="F133"/>
  <c r="F134"/>
  <c r="F135"/>
  <c r="F136"/>
  <c r="F137"/>
  <c r="F138"/>
  <c r="F139"/>
  <c r="F140"/>
  <c r="F141"/>
  <c r="F142"/>
  <c r="F148"/>
  <c r="F149"/>
  <c r="F150"/>
  <c r="F151"/>
  <c r="F152"/>
  <c r="F153"/>
  <c r="F154"/>
  <c r="F155"/>
  <c r="F156"/>
  <c r="F157"/>
  <c r="F158"/>
  <c r="F159"/>
  <c r="F160"/>
  <c r="F161"/>
  <c r="F167"/>
  <c r="F168"/>
  <c r="F169"/>
  <c r="F170"/>
  <c r="F171"/>
  <c r="F172"/>
  <c r="F173"/>
  <c r="F174"/>
  <c r="F182"/>
  <c r="F185"/>
  <c r="F188"/>
  <c r="F189"/>
  <c r="F190"/>
  <c r="F194"/>
  <c r="F197"/>
  <c r="F200"/>
  <c r="F201"/>
  <c r="F202"/>
  <c r="F205"/>
  <c r="F208"/>
  <c r="F211"/>
  <c r="F214"/>
  <c r="F215"/>
  <c r="F216"/>
  <c r="F217"/>
  <c r="F218"/>
  <c r="F219"/>
  <c r="F227"/>
  <c r="F228"/>
  <c r="F229"/>
  <c r="F230"/>
  <c r="F231"/>
  <c r="F232"/>
  <c r="F233"/>
  <c r="F234"/>
  <c r="F235"/>
  <c r="F236"/>
  <c r="F237"/>
  <c r="F239"/>
  <c r="F240"/>
  <c r="F241"/>
  <c r="F244"/>
  <c r="F247"/>
  <c r="F248"/>
  <c r="F249"/>
  <c r="F250"/>
  <c r="F251"/>
  <c r="F252"/>
  <c r="F253"/>
  <c r="F254"/>
  <c r="F256"/>
  <c r="F257"/>
  <c r="F258"/>
  <c r="F259"/>
  <c r="F261"/>
  <c r="F262"/>
  <c r="F263"/>
  <c r="F264"/>
  <c r="F265"/>
  <c r="F266"/>
  <c r="F267"/>
  <c r="F268"/>
  <c r="F269"/>
  <c r="F270"/>
  <c r="F271"/>
  <c r="F272"/>
  <c r="F273"/>
  <c r="F274"/>
  <c r="F278"/>
  <c r="F281"/>
  <c r="F284"/>
  <c r="F287"/>
  <c r="F2"/>
  <c r="D12" i="19"/>
  <c r="F5" i="7"/>
  <c r="F6"/>
  <c r="F7"/>
  <c r="F10"/>
  <c r="F13"/>
  <c r="F16"/>
  <c r="F19"/>
  <c r="F22"/>
  <c r="F23"/>
  <c r="F24"/>
  <c r="F27"/>
  <c r="F28"/>
  <c r="F29"/>
  <c r="F30"/>
  <c r="F34"/>
  <c r="F35"/>
  <c r="F36"/>
  <c r="F37"/>
  <c r="F38"/>
  <c r="F41"/>
  <c r="F44"/>
  <c r="F47"/>
  <c r="F48"/>
  <c r="F51"/>
  <c r="F57"/>
  <c r="F58"/>
  <c r="F61"/>
  <c r="F62"/>
  <c r="F65"/>
  <c r="F68"/>
  <c r="F71"/>
  <c r="F72"/>
  <c r="F73"/>
  <c r="F76"/>
  <c r="F77"/>
  <c r="F78"/>
  <c r="F82"/>
  <c r="F83"/>
  <c r="F84"/>
  <c r="F85"/>
  <c r="F86"/>
  <c r="F87"/>
  <c r="F88"/>
  <c r="F89"/>
  <c r="F90"/>
  <c r="F91"/>
  <c r="F92"/>
  <c r="F97"/>
  <c r="F98"/>
  <c r="F99"/>
  <c r="F102"/>
  <c r="F103"/>
  <c r="F104"/>
  <c r="F105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40"/>
  <c r="F141"/>
  <c r="F142"/>
  <c r="F143"/>
  <c r="F144"/>
  <c r="F145"/>
  <c r="F146"/>
  <c r="F147"/>
  <c r="F148"/>
  <c r="F149"/>
  <c r="F150"/>
  <c r="F151"/>
  <c r="F152"/>
  <c r="F159"/>
  <c r="F160"/>
  <c r="F161"/>
  <c r="F162"/>
  <c r="F163"/>
  <c r="F164"/>
  <c r="F165"/>
  <c r="F166"/>
  <c r="F167"/>
  <c r="F168"/>
  <c r="F173"/>
  <c r="F174"/>
  <c r="F175"/>
  <c r="F176"/>
  <c r="F177"/>
  <c r="F178"/>
  <c r="F179"/>
  <c r="F180"/>
  <c r="F181"/>
  <c r="F184"/>
  <c r="F185"/>
  <c r="F196"/>
  <c r="F199"/>
  <c r="F200"/>
  <c r="F201"/>
  <c r="F204"/>
  <c r="F205"/>
  <c r="F206"/>
  <c r="F210"/>
  <c r="F211"/>
  <c r="F214"/>
  <c r="F215"/>
  <c r="F216"/>
  <c r="F219"/>
  <c r="F220"/>
  <c r="F221"/>
  <c r="F225"/>
  <c r="F228"/>
  <c r="F229"/>
  <c r="F230"/>
  <c r="F238"/>
  <c r="F239"/>
  <c r="F240"/>
  <c r="F241"/>
  <c r="F242"/>
  <c r="F243"/>
  <c r="F244"/>
  <c r="F247"/>
  <c r="F250"/>
  <c r="F253"/>
  <c r="F256"/>
  <c r="F259"/>
  <c r="F262"/>
  <c r="F265"/>
  <c r="F2"/>
  <c r="D13" i="19"/>
  <c r="F5" i="13"/>
  <c r="F6"/>
  <c r="F7"/>
  <c r="F10"/>
  <c r="F13"/>
  <c r="F16"/>
  <c r="F17"/>
  <c r="F18"/>
  <c r="F21"/>
  <c r="F22"/>
  <c r="F25"/>
  <c r="F26"/>
  <c r="F29"/>
  <c r="F30"/>
  <c r="F31"/>
  <c r="F34"/>
  <c r="F35"/>
  <c r="F36"/>
  <c r="F37"/>
  <c r="F38"/>
  <c r="F41"/>
  <c r="F44"/>
  <c r="F45"/>
  <c r="F46"/>
  <c r="F47"/>
  <c r="F50"/>
  <c r="F51"/>
  <c r="F54"/>
  <c r="F60"/>
  <c r="F61"/>
  <c r="F64"/>
  <c r="F67"/>
  <c r="F70"/>
  <c r="F71"/>
  <c r="F74"/>
  <c r="F75"/>
  <c r="F76"/>
  <c r="F79"/>
  <c r="F80"/>
  <c r="F81"/>
  <c r="F85"/>
  <c r="F86"/>
  <c r="F87"/>
  <c r="F88"/>
  <c r="F89"/>
  <c r="F90"/>
  <c r="F91"/>
  <c r="F92"/>
  <c r="F93"/>
  <c r="F95"/>
  <c r="F96"/>
  <c r="F97"/>
  <c r="F98"/>
  <c r="F101"/>
  <c r="F102"/>
  <c r="F103"/>
  <c r="F106"/>
  <c r="F110"/>
  <c r="F111"/>
  <c r="F112"/>
  <c r="F113"/>
  <c r="F114"/>
  <c r="F115"/>
  <c r="F116"/>
  <c r="F117"/>
  <c r="F118"/>
  <c r="F119"/>
  <c r="F120"/>
  <c r="F121"/>
  <c r="F122"/>
  <c r="F123"/>
  <c r="F124"/>
  <c r="F125"/>
  <c r="F131"/>
  <c r="F132"/>
  <c r="F133"/>
  <c r="F134"/>
  <c r="F135"/>
  <c r="F136"/>
  <c r="F137"/>
  <c r="F138"/>
  <c r="F139"/>
  <c r="F140"/>
  <c r="F141"/>
  <c r="F142"/>
  <c r="F148"/>
  <c r="F149"/>
  <c r="F150"/>
  <c r="F151"/>
  <c r="F152"/>
  <c r="F153"/>
  <c r="F154"/>
  <c r="F155"/>
  <c r="F156"/>
  <c r="F157"/>
  <c r="F158"/>
  <c r="F159"/>
  <c r="F160"/>
  <c r="F161"/>
  <c r="F167"/>
  <c r="F168"/>
  <c r="F169"/>
  <c r="F170"/>
  <c r="F171"/>
  <c r="F172"/>
  <c r="F173"/>
  <c r="F174"/>
  <c r="F182"/>
  <c r="F185"/>
  <c r="F186"/>
  <c r="F187"/>
  <c r="F190"/>
  <c r="F194"/>
  <c r="F197"/>
  <c r="F198"/>
  <c r="F199"/>
  <c r="F202"/>
  <c r="F203"/>
  <c r="F204"/>
  <c r="F207"/>
  <c r="F210"/>
  <c r="F213"/>
  <c r="F214"/>
  <c r="F220"/>
  <c r="F223"/>
  <c r="F226"/>
  <c r="F229"/>
  <c r="F232"/>
  <c r="F2"/>
  <c r="D14" i="19"/>
  <c r="F5" i="12"/>
  <c r="F6"/>
  <c r="F7"/>
  <c r="F10"/>
  <c r="F13"/>
  <c r="F16"/>
  <c r="F17"/>
  <c r="F18"/>
  <c r="F21"/>
  <c r="F22"/>
  <c r="F25"/>
  <c r="F26"/>
  <c r="F29"/>
  <c r="F30"/>
  <c r="F31"/>
  <c r="F34"/>
  <c r="F35"/>
  <c r="F36"/>
  <c r="F37"/>
  <c r="F38"/>
  <c r="F41"/>
  <c r="F44"/>
  <c r="F45"/>
  <c r="F46"/>
  <c r="F47"/>
  <c r="F50"/>
  <c r="F51"/>
  <c r="F54"/>
  <c r="F60"/>
  <c r="F61"/>
  <c r="F64"/>
  <c r="F67"/>
  <c r="F70"/>
  <c r="F71"/>
  <c r="F74"/>
  <c r="F75"/>
  <c r="F76"/>
  <c r="F79"/>
  <c r="F80"/>
  <c r="F81"/>
  <c r="F85"/>
  <c r="F86"/>
  <c r="F87"/>
  <c r="F88"/>
  <c r="F89"/>
  <c r="F90"/>
  <c r="F91"/>
  <c r="F92"/>
  <c r="F93"/>
  <c r="F95"/>
  <c r="F96"/>
  <c r="F97"/>
  <c r="F98"/>
  <c r="F101"/>
  <c r="F102"/>
  <c r="F103"/>
  <c r="F106"/>
  <c r="F110"/>
  <c r="F111"/>
  <c r="F112"/>
  <c r="F113"/>
  <c r="F114"/>
  <c r="F115"/>
  <c r="F116"/>
  <c r="F117"/>
  <c r="F118"/>
  <c r="F119"/>
  <c r="F120"/>
  <c r="F121"/>
  <c r="F122"/>
  <c r="F123"/>
  <c r="F124"/>
  <c r="F125"/>
  <c r="F131"/>
  <c r="F132"/>
  <c r="F133"/>
  <c r="F134"/>
  <c r="F135"/>
  <c r="F136"/>
  <c r="F137"/>
  <c r="F138"/>
  <c r="F139"/>
  <c r="F140"/>
  <c r="F141"/>
  <c r="F142"/>
  <c r="F148"/>
  <c r="F149"/>
  <c r="F150"/>
  <c r="F151"/>
  <c r="F152"/>
  <c r="F153"/>
  <c r="F154"/>
  <c r="F155"/>
  <c r="F156"/>
  <c r="F157"/>
  <c r="F158"/>
  <c r="F159"/>
  <c r="F160"/>
  <c r="F161"/>
  <c r="F166"/>
  <c r="F167"/>
  <c r="F168"/>
  <c r="F169"/>
  <c r="F170"/>
  <c r="F171"/>
  <c r="F172"/>
  <c r="F173"/>
  <c r="F183"/>
  <c r="F186"/>
  <c r="F187"/>
  <c r="F188"/>
  <c r="F191"/>
  <c r="F195"/>
  <c r="F198"/>
  <c r="F199"/>
  <c r="F200"/>
  <c r="F203"/>
  <c r="F204"/>
  <c r="F205"/>
  <c r="F209"/>
  <c r="F212"/>
  <c r="F215"/>
  <c r="F216"/>
  <c r="F222"/>
  <c r="F225"/>
  <c r="F228"/>
  <c r="F231"/>
  <c r="F234"/>
  <c r="F2"/>
  <c r="D15" i="19"/>
  <c r="F5" i="14"/>
  <c r="F6"/>
  <c r="F7"/>
  <c r="F11"/>
  <c r="F14"/>
  <c r="F17"/>
  <c r="F18"/>
  <c r="F19"/>
  <c r="F22"/>
  <c r="F23"/>
  <c r="F24"/>
  <c r="F25"/>
  <c r="F28"/>
  <c r="F29"/>
  <c r="F30"/>
  <c r="F33"/>
  <c r="F36"/>
  <c r="F37"/>
  <c r="F38"/>
  <c r="F39"/>
  <c r="F40"/>
  <c r="F43"/>
  <c r="F46"/>
  <c r="F47"/>
  <c r="F48"/>
  <c r="F49"/>
  <c r="F52"/>
  <c r="F53"/>
  <c r="F56"/>
  <c r="F62"/>
  <c r="F63"/>
  <c r="F66"/>
  <c r="F69"/>
  <c r="F72"/>
  <c r="F73"/>
  <c r="F76"/>
  <c r="F77"/>
  <c r="F78"/>
  <c r="F81"/>
  <c r="F82"/>
  <c r="F83"/>
  <c r="F87"/>
  <c r="F88"/>
  <c r="F89"/>
  <c r="F90"/>
  <c r="F91"/>
  <c r="F92"/>
  <c r="F93"/>
  <c r="F94"/>
  <c r="F95"/>
  <c r="F96"/>
  <c r="F97"/>
  <c r="F103"/>
  <c r="F104"/>
  <c r="F105"/>
  <c r="F108"/>
  <c r="F109"/>
  <c r="F110"/>
  <c r="F111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9"/>
  <c r="F150"/>
  <c r="F152"/>
  <c r="F154"/>
  <c r="F155"/>
  <c r="F157"/>
  <c r="F158"/>
  <c r="F160"/>
  <c r="F161"/>
  <c r="F162"/>
  <c r="F164"/>
  <c r="F165"/>
  <c r="F166"/>
  <c r="F167"/>
  <c r="F168"/>
  <c r="F169"/>
  <c r="F170"/>
  <c r="F171"/>
  <c r="F172"/>
  <c r="F173"/>
  <c r="F174"/>
  <c r="F176"/>
  <c r="F177"/>
  <c r="F178"/>
  <c r="F179"/>
  <c r="F181"/>
  <c r="F182"/>
  <c r="F183"/>
  <c r="F184"/>
  <c r="F185"/>
  <c r="F187"/>
  <c r="F188"/>
  <c r="F189"/>
  <c r="F190"/>
  <c r="F191"/>
  <c r="F192"/>
  <c r="F193"/>
  <c r="F195"/>
  <c r="F196"/>
  <c r="F197"/>
  <c r="F198"/>
  <c r="F200"/>
  <c r="F201"/>
  <c r="F202"/>
  <c r="F203"/>
  <c r="F204"/>
  <c r="F206"/>
  <c r="F207"/>
  <c r="F208"/>
  <c r="F209"/>
  <c r="F211"/>
  <c r="F212"/>
  <c r="F213"/>
  <c r="F214"/>
  <c r="F215"/>
  <c r="F222"/>
  <c r="F223"/>
  <c r="F224"/>
  <c r="F225"/>
  <c r="F226"/>
  <c r="F227"/>
  <c r="F228"/>
  <c r="F229"/>
  <c r="F230"/>
  <c r="F233"/>
  <c r="F234"/>
  <c r="F2"/>
  <c r="D16" i="19"/>
  <c r="F5" i="15"/>
  <c r="F6"/>
  <c r="F7"/>
  <c r="F10"/>
  <c r="F13"/>
  <c r="F14"/>
  <c r="F15"/>
  <c r="F18"/>
  <c r="F19"/>
  <c r="F20"/>
  <c r="F23"/>
  <c r="F24"/>
  <c r="F27"/>
  <c r="F28"/>
  <c r="F31"/>
  <c r="F32"/>
  <c r="F33"/>
  <c r="F36"/>
  <c r="F37"/>
  <c r="F38"/>
  <c r="F39"/>
  <c r="F40"/>
  <c r="F43"/>
  <c r="F46"/>
  <c r="F49"/>
  <c r="F50"/>
  <c r="F53"/>
  <c r="F59"/>
  <c r="F60"/>
  <c r="F63"/>
  <c r="F66"/>
  <c r="F69"/>
  <c r="F70"/>
  <c r="F73"/>
  <c r="F74"/>
  <c r="F75"/>
  <c r="F78"/>
  <c r="F79"/>
  <c r="F80"/>
  <c r="F84"/>
  <c r="F85"/>
  <c r="F86"/>
  <c r="F87"/>
  <c r="F88"/>
  <c r="F89"/>
  <c r="F90"/>
  <c r="F91"/>
  <c r="F92"/>
  <c r="F94"/>
  <c r="F95"/>
  <c r="F96"/>
  <c r="F97"/>
  <c r="F100"/>
  <c r="F101"/>
  <c r="F102"/>
  <c r="F105"/>
  <c r="F106"/>
  <c r="F107"/>
  <c r="F108"/>
  <c r="F112"/>
  <c r="F113"/>
  <c r="F114"/>
  <c r="F115"/>
  <c r="F116"/>
  <c r="F117"/>
  <c r="F118"/>
  <c r="F119"/>
  <c r="F120"/>
  <c r="F121"/>
  <c r="F122"/>
  <c r="F123"/>
  <c r="F124"/>
  <c r="F125"/>
  <c r="F126"/>
  <c r="F127"/>
  <c r="F133"/>
  <c r="F134"/>
  <c r="F135"/>
  <c r="F136"/>
  <c r="F137"/>
  <c r="F138"/>
  <c r="F139"/>
  <c r="F140"/>
  <c r="F141"/>
  <c r="F142"/>
  <c r="F143"/>
  <c r="F144"/>
  <c r="F150"/>
  <c r="F151"/>
  <c r="F152"/>
  <c r="F153"/>
  <c r="F154"/>
  <c r="F155"/>
  <c r="F156"/>
  <c r="F157"/>
  <c r="F158"/>
  <c r="F159"/>
  <c r="F160"/>
  <c r="F161"/>
  <c r="F162"/>
  <c r="F163"/>
  <c r="F169"/>
  <c r="F170"/>
  <c r="F171"/>
  <c r="F172"/>
  <c r="F173"/>
  <c r="F174"/>
  <c r="F175"/>
  <c r="F176"/>
  <c r="F184"/>
  <c r="F185"/>
  <c r="F188"/>
  <c r="F191"/>
  <c r="F195"/>
  <c r="F198"/>
  <c r="F201"/>
  <c r="F202"/>
  <c r="F203"/>
  <c r="F206"/>
  <c r="F209"/>
  <c r="F212"/>
  <c r="F215"/>
  <c r="F216"/>
  <c r="F217"/>
  <c r="F218"/>
  <c r="F219"/>
  <c r="F220"/>
  <c r="F228"/>
  <c r="F229"/>
  <c r="F230"/>
  <c r="F231"/>
  <c r="F232"/>
  <c r="F233"/>
  <c r="F234"/>
  <c r="F235"/>
  <c r="F236"/>
  <c r="F237"/>
  <c r="F238"/>
  <c r="F240"/>
  <c r="F241"/>
  <c r="F242"/>
  <c r="F245"/>
  <c r="F248"/>
  <c r="F249"/>
  <c r="F250"/>
  <c r="F251"/>
  <c r="F252"/>
  <c r="F253"/>
  <c r="F254"/>
  <c r="F255"/>
  <c r="F257"/>
  <c r="F258"/>
  <c r="F259"/>
  <c r="F260"/>
  <c r="F262"/>
  <c r="F263"/>
  <c r="F264"/>
  <c r="F265"/>
  <c r="F266"/>
  <c r="F267"/>
  <c r="F268"/>
  <c r="F269"/>
  <c r="F270"/>
  <c r="F271"/>
  <c r="F272"/>
  <c r="F273"/>
  <c r="F274"/>
  <c r="C275"/>
  <c r="F275"/>
  <c r="F279"/>
  <c r="F282"/>
  <c r="F285"/>
  <c r="F288"/>
  <c r="F2"/>
  <c r="D17" i="19"/>
  <c r="F5" i="16"/>
  <c r="F6"/>
  <c r="F7"/>
  <c r="F10"/>
  <c r="F13"/>
  <c r="F16"/>
  <c r="F17"/>
  <c r="F18"/>
  <c r="F21"/>
  <c r="F22"/>
  <c r="F25"/>
  <c r="F26"/>
  <c r="F29"/>
  <c r="F30"/>
  <c r="F31"/>
  <c r="F34"/>
  <c r="F35"/>
  <c r="F36"/>
  <c r="F37"/>
  <c r="F38"/>
  <c r="F41"/>
  <c r="F44"/>
  <c r="F45"/>
  <c r="F46"/>
  <c r="F47"/>
  <c r="F51"/>
  <c r="F52"/>
  <c r="F55"/>
  <c r="F61"/>
  <c r="F62"/>
  <c r="F65"/>
  <c r="F68"/>
  <c r="F71"/>
  <c r="F72"/>
  <c r="F75"/>
  <c r="F76"/>
  <c r="F77"/>
  <c r="F80"/>
  <c r="F81"/>
  <c r="F82"/>
  <c r="F86"/>
  <c r="F87"/>
  <c r="F88"/>
  <c r="F89"/>
  <c r="F90"/>
  <c r="F91"/>
  <c r="F92"/>
  <c r="F93"/>
  <c r="F94"/>
  <c r="F96"/>
  <c r="F97"/>
  <c r="F98"/>
  <c r="F99"/>
  <c r="F102"/>
  <c r="F103"/>
  <c r="F104"/>
  <c r="F107"/>
  <c r="F111"/>
  <c r="F112"/>
  <c r="F113"/>
  <c r="F114"/>
  <c r="F115"/>
  <c r="F116"/>
  <c r="F117"/>
  <c r="F118"/>
  <c r="F119"/>
  <c r="F120"/>
  <c r="F121"/>
  <c r="F122"/>
  <c r="F123"/>
  <c r="F124"/>
  <c r="F125"/>
  <c r="F126"/>
  <c r="F132"/>
  <c r="F133"/>
  <c r="F134"/>
  <c r="F135"/>
  <c r="F136"/>
  <c r="F137"/>
  <c r="F138"/>
  <c r="F139"/>
  <c r="F140"/>
  <c r="F141"/>
  <c r="F142"/>
  <c r="F143"/>
  <c r="F149"/>
  <c r="F150"/>
  <c r="F151"/>
  <c r="F152"/>
  <c r="F153"/>
  <c r="F154"/>
  <c r="F155"/>
  <c r="F156"/>
  <c r="F157"/>
  <c r="F158"/>
  <c r="F159"/>
  <c r="F160"/>
  <c r="F161"/>
  <c r="F162"/>
  <c r="F168"/>
  <c r="F169"/>
  <c r="F170"/>
  <c r="F171"/>
  <c r="F172"/>
  <c r="F173"/>
  <c r="F174"/>
  <c r="F175"/>
  <c r="F183"/>
  <c r="F184"/>
  <c r="F187"/>
  <c r="F188"/>
  <c r="F189"/>
  <c r="F192"/>
  <c r="F196"/>
  <c r="F199"/>
  <c r="F200"/>
  <c r="F201"/>
  <c r="F204"/>
  <c r="F205"/>
  <c r="F206"/>
  <c r="F209"/>
  <c r="F212"/>
  <c r="F215"/>
  <c r="F218"/>
  <c r="F219"/>
  <c r="F220"/>
  <c r="F221"/>
  <c r="F222"/>
  <c r="F223"/>
  <c r="F231"/>
  <c r="F232"/>
  <c r="F233"/>
  <c r="F234"/>
  <c r="F235"/>
  <c r="F236"/>
  <c r="F237"/>
  <c r="F238"/>
  <c r="F239"/>
  <c r="F240"/>
  <c r="F241"/>
  <c r="F243"/>
  <c r="F244"/>
  <c r="F245"/>
  <c r="F248"/>
  <c r="F251"/>
  <c r="F252"/>
  <c r="F253"/>
  <c r="F254"/>
  <c r="F255"/>
  <c r="F256"/>
  <c r="F257"/>
  <c r="F258"/>
  <c r="F260"/>
  <c r="F261"/>
  <c r="F262"/>
  <c r="F263"/>
  <c r="F265"/>
  <c r="F266"/>
  <c r="F267"/>
  <c r="F268"/>
  <c r="F269"/>
  <c r="F270"/>
  <c r="F271"/>
  <c r="F272"/>
  <c r="F273"/>
  <c r="F274"/>
  <c r="F275"/>
  <c r="F276"/>
  <c r="F277"/>
  <c r="F278"/>
  <c r="F282"/>
  <c r="F285"/>
  <c r="F288"/>
  <c r="F291"/>
  <c r="F2"/>
  <c r="D18" i="19"/>
  <c r="F5" i="11"/>
  <c r="F6"/>
  <c r="F7"/>
  <c r="F10"/>
  <c r="F13"/>
  <c r="F16"/>
  <c r="F17"/>
  <c r="F18"/>
  <c r="F21"/>
  <c r="F22"/>
  <c r="F25"/>
  <c r="F26"/>
  <c r="F29"/>
  <c r="F30"/>
  <c r="F31"/>
  <c r="F34"/>
  <c r="F35"/>
  <c r="F36"/>
  <c r="F37"/>
  <c r="F38"/>
  <c r="F42"/>
  <c r="F45"/>
  <c r="F46"/>
  <c r="F47"/>
  <c r="F48"/>
  <c r="F52"/>
  <c r="F53"/>
  <c r="F56"/>
  <c r="F62"/>
  <c r="F63"/>
  <c r="F66"/>
  <c r="F69"/>
  <c r="F72"/>
  <c r="F73"/>
  <c r="F76"/>
  <c r="F77"/>
  <c r="F78"/>
  <c r="F81"/>
  <c r="F82"/>
  <c r="F83"/>
  <c r="F87"/>
  <c r="F88"/>
  <c r="F89"/>
  <c r="F90"/>
  <c r="F91"/>
  <c r="F92"/>
  <c r="F93"/>
  <c r="F94"/>
  <c r="F95"/>
  <c r="F97"/>
  <c r="F98"/>
  <c r="F99"/>
  <c r="F100"/>
  <c r="F103"/>
  <c r="F104"/>
  <c r="F105"/>
  <c r="F109"/>
  <c r="F113"/>
  <c r="F114"/>
  <c r="F115"/>
  <c r="F116"/>
  <c r="F117"/>
  <c r="F118"/>
  <c r="F119"/>
  <c r="F120"/>
  <c r="F121"/>
  <c r="F122"/>
  <c r="F123"/>
  <c r="F124"/>
  <c r="F125"/>
  <c r="F126"/>
  <c r="F127"/>
  <c r="F128"/>
  <c r="F134"/>
  <c r="F135"/>
  <c r="F136"/>
  <c r="F137"/>
  <c r="F138"/>
  <c r="F139"/>
  <c r="F140"/>
  <c r="F141"/>
  <c r="F142"/>
  <c r="F143"/>
  <c r="F144"/>
  <c r="F145"/>
  <c r="F146"/>
  <c r="F151"/>
  <c r="F152"/>
  <c r="F153"/>
  <c r="F154"/>
  <c r="F155"/>
  <c r="F156"/>
  <c r="F157"/>
  <c r="F158"/>
  <c r="F159"/>
  <c r="F160"/>
  <c r="F161"/>
  <c r="F162"/>
  <c r="F163"/>
  <c r="F164"/>
  <c r="F170"/>
  <c r="F171"/>
  <c r="F172"/>
  <c r="F173"/>
  <c r="F174"/>
  <c r="F175"/>
  <c r="F176"/>
  <c r="F177"/>
  <c r="F186"/>
  <c r="F187"/>
  <c r="F190"/>
  <c r="F191"/>
  <c r="F192"/>
  <c r="F195"/>
  <c r="F198"/>
  <c r="F202"/>
  <c r="F203"/>
  <c r="F204"/>
  <c r="F207"/>
  <c r="F210"/>
  <c r="F213"/>
  <c r="F216"/>
  <c r="F219"/>
  <c r="F220"/>
  <c r="F221"/>
  <c r="F222"/>
  <c r="F223"/>
  <c r="F224"/>
  <c r="F232"/>
  <c r="F233"/>
  <c r="F234"/>
  <c r="F235"/>
  <c r="F236"/>
  <c r="F237"/>
  <c r="F238"/>
  <c r="F239"/>
  <c r="F240"/>
  <c r="F241"/>
  <c r="F242"/>
  <c r="F244"/>
  <c r="F245"/>
  <c r="F246"/>
  <c r="F250"/>
  <c r="F252"/>
  <c r="F253"/>
  <c r="F254"/>
  <c r="F255"/>
  <c r="F256"/>
  <c r="F257"/>
  <c r="F258"/>
  <c r="F259"/>
  <c r="F261"/>
  <c r="F262"/>
  <c r="F263"/>
  <c r="F264"/>
  <c r="F266"/>
  <c r="F267"/>
  <c r="F268"/>
  <c r="F269"/>
  <c r="F270"/>
  <c r="F271"/>
  <c r="F272"/>
  <c r="F273"/>
  <c r="F274"/>
  <c r="F275"/>
  <c r="F276"/>
  <c r="F277"/>
  <c r="F278"/>
  <c r="F279"/>
  <c r="F283"/>
  <c r="F286"/>
  <c r="F289"/>
  <c r="F292"/>
  <c r="F2"/>
  <c r="D19" i="19"/>
  <c r="F5" i="17"/>
  <c r="F6"/>
  <c r="F7"/>
  <c r="F10"/>
  <c r="F13"/>
  <c r="F14"/>
  <c r="F15"/>
  <c r="F18"/>
  <c r="F21"/>
  <c r="F24"/>
  <c r="F25"/>
  <c r="F26"/>
  <c r="F29"/>
  <c r="F32"/>
  <c r="F33"/>
  <c r="F34"/>
  <c r="F35"/>
  <c r="F36"/>
  <c r="F40"/>
  <c r="F43"/>
  <c r="F46"/>
  <c r="F47"/>
  <c r="F50"/>
  <c r="F56"/>
  <c r="F57"/>
  <c r="F60"/>
  <c r="F63"/>
  <c r="F66"/>
  <c r="F67"/>
  <c r="F70"/>
  <c r="F71"/>
  <c r="F72"/>
  <c r="F75"/>
  <c r="F76"/>
  <c r="F77"/>
  <c r="F81"/>
  <c r="F82"/>
  <c r="F83"/>
  <c r="F84"/>
  <c r="F85"/>
  <c r="F86"/>
  <c r="F87"/>
  <c r="F88"/>
  <c r="F89"/>
  <c r="F91"/>
  <c r="F92"/>
  <c r="F93"/>
  <c r="F94"/>
  <c r="F97"/>
  <c r="F98"/>
  <c r="F99"/>
  <c r="F102"/>
  <c r="F103"/>
  <c r="F104"/>
  <c r="F105"/>
  <c r="F109"/>
  <c r="F110"/>
  <c r="F111"/>
  <c r="F112"/>
  <c r="F113"/>
  <c r="F114"/>
  <c r="F115"/>
  <c r="F116"/>
  <c r="F117"/>
  <c r="F118"/>
  <c r="F119"/>
  <c r="F120"/>
  <c r="F121"/>
  <c r="F122"/>
  <c r="F123"/>
  <c r="F124"/>
  <c r="F130"/>
  <c r="F131"/>
  <c r="F132"/>
  <c r="F133"/>
  <c r="F134"/>
  <c r="F135"/>
  <c r="F136"/>
  <c r="F137"/>
  <c r="F138"/>
  <c r="F139"/>
  <c r="F140"/>
  <c r="F141"/>
  <c r="F147"/>
  <c r="F148"/>
  <c r="F149"/>
  <c r="F150"/>
  <c r="F151"/>
  <c r="F152"/>
  <c r="F153"/>
  <c r="F154"/>
  <c r="F155"/>
  <c r="F156"/>
  <c r="F157"/>
  <c r="F158"/>
  <c r="F159"/>
  <c r="F160"/>
  <c r="F166"/>
  <c r="F167"/>
  <c r="F168"/>
  <c r="F169"/>
  <c r="F170"/>
  <c r="F171"/>
  <c r="F172"/>
  <c r="F173"/>
  <c r="F186"/>
  <c r="F189"/>
  <c r="F190"/>
  <c r="F191"/>
  <c r="F194"/>
  <c r="F195"/>
  <c r="F196"/>
  <c r="F199"/>
  <c r="F202"/>
  <c r="F203"/>
  <c r="F204"/>
  <c r="F207"/>
  <c r="F208"/>
  <c r="F209"/>
  <c r="F212"/>
  <c r="F215"/>
  <c r="F218"/>
  <c r="F219"/>
  <c r="F220"/>
  <c r="F228"/>
  <c r="F229"/>
  <c r="F230"/>
  <c r="F231"/>
  <c r="F232"/>
  <c r="F233"/>
  <c r="F234"/>
  <c r="F237"/>
  <c r="F240"/>
  <c r="F243"/>
  <c r="F246"/>
  <c r="F2"/>
  <c r="D20" i="19"/>
  <c r="D22"/>
  <c r="E40"/>
  <c r="L2" i="9"/>
  <c r="L2" i="10"/>
  <c r="F38" i="19"/>
  <c r="D4" i="1"/>
  <c r="D5"/>
  <c r="D6"/>
  <c r="D9"/>
  <c r="D12"/>
  <c r="D15"/>
  <c r="D16"/>
  <c r="D17"/>
  <c r="D20"/>
  <c r="D21"/>
  <c r="D24"/>
  <c r="D25"/>
  <c r="D28"/>
  <c r="D29"/>
  <c r="D30"/>
  <c r="D33"/>
  <c r="D34"/>
  <c r="D35"/>
  <c r="D36"/>
  <c r="D37"/>
  <c r="D40"/>
  <c r="D43"/>
  <c r="D44"/>
  <c r="D45"/>
  <c r="D46"/>
  <c r="D49"/>
  <c r="D50"/>
  <c r="D53"/>
  <c r="D56"/>
  <c r="D59"/>
  <c r="D60"/>
  <c r="D63"/>
  <c r="D66"/>
  <c r="D69"/>
  <c r="D70"/>
  <c r="D73"/>
  <c r="D74"/>
  <c r="D75"/>
  <c r="D78"/>
  <c r="D79"/>
  <c r="D80"/>
  <c r="D84"/>
  <c r="D85"/>
  <c r="D86"/>
  <c r="D87"/>
  <c r="D88"/>
  <c r="D89"/>
  <c r="D90"/>
  <c r="D91"/>
  <c r="D92"/>
  <c r="D94"/>
  <c r="D95"/>
  <c r="D96"/>
  <c r="D97"/>
  <c r="D100"/>
  <c r="D101"/>
  <c r="D102"/>
  <c r="D105"/>
  <c r="D109"/>
  <c r="D110"/>
  <c r="D111"/>
  <c r="D112"/>
  <c r="D113"/>
  <c r="D114"/>
  <c r="D115"/>
  <c r="D116"/>
  <c r="D117"/>
  <c r="D118"/>
  <c r="D119"/>
  <c r="D120"/>
  <c r="D121"/>
  <c r="D122"/>
  <c r="D123"/>
  <c r="D124"/>
  <c r="D130"/>
  <c r="D131"/>
  <c r="D132"/>
  <c r="D133"/>
  <c r="D134"/>
  <c r="D135"/>
  <c r="D136"/>
  <c r="D137"/>
  <c r="D138"/>
  <c r="D139"/>
  <c r="D140"/>
  <c r="D141"/>
  <c r="D147"/>
  <c r="D148"/>
  <c r="D149"/>
  <c r="D150"/>
  <c r="D151"/>
  <c r="D152"/>
  <c r="D153"/>
  <c r="D154"/>
  <c r="D155"/>
  <c r="D156"/>
  <c r="D157"/>
  <c r="D158"/>
  <c r="D159"/>
  <c r="D160"/>
  <c r="D165"/>
  <c r="D166"/>
  <c r="D167"/>
  <c r="D168"/>
  <c r="D169"/>
  <c r="D170"/>
  <c r="D171"/>
  <c r="D172"/>
  <c r="D176"/>
  <c r="D177"/>
  <c r="D180"/>
  <c r="D181"/>
  <c r="D184"/>
  <c r="D185"/>
  <c r="D186"/>
  <c r="D189"/>
  <c r="D192"/>
  <c r="D195"/>
  <c r="D196"/>
  <c r="D197"/>
  <c r="D200"/>
  <c r="D201"/>
  <c r="D202"/>
  <c r="D205"/>
  <c r="D208"/>
  <c r="D211"/>
  <c r="D214"/>
  <c r="D215"/>
  <c r="D216"/>
  <c r="D217"/>
  <c r="D218"/>
  <c r="D219"/>
  <c r="D222"/>
  <c r="D225"/>
  <c r="D228"/>
  <c r="D231"/>
  <c r="D234"/>
  <c r="D237"/>
  <c r="D2"/>
  <c r="B4" i="19"/>
  <c r="D5" i="2"/>
  <c r="D6"/>
  <c r="D7"/>
  <c r="D10"/>
  <c r="D13"/>
  <c r="D16"/>
  <c r="D17"/>
  <c r="D18"/>
  <c r="D21"/>
  <c r="D22"/>
  <c r="D25"/>
  <c r="D26"/>
  <c r="D29"/>
  <c r="D30"/>
  <c r="D31"/>
  <c r="D34"/>
  <c r="D35"/>
  <c r="D36"/>
  <c r="D37"/>
  <c r="D38"/>
  <c r="D41"/>
  <c r="D44"/>
  <c r="D47"/>
  <c r="D48"/>
  <c r="D51"/>
  <c r="D54"/>
  <c r="D57"/>
  <c r="D58"/>
  <c r="D61"/>
  <c r="D64"/>
  <c r="D68"/>
  <c r="D69"/>
  <c r="D72"/>
  <c r="D73"/>
  <c r="D74"/>
  <c r="D77"/>
  <c r="D78"/>
  <c r="D79"/>
  <c r="D83"/>
  <c r="D84"/>
  <c r="D85"/>
  <c r="D86"/>
  <c r="D87"/>
  <c r="D88"/>
  <c r="D89"/>
  <c r="D90"/>
  <c r="D91"/>
  <c r="D93"/>
  <c r="D94"/>
  <c r="D95"/>
  <c r="D96"/>
  <c r="D99"/>
  <c r="D100"/>
  <c r="D101"/>
  <c r="D104"/>
  <c r="D108"/>
  <c r="D109"/>
  <c r="D110"/>
  <c r="D111"/>
  <c r="D112"/>
  <c r="D113"/>
  <c r="D114"/>
  <c r="D115"/>
  <c r="D116"/>
  <c r="D117"/>
  <c r="D118"/>
  <c r="D119"/>
  <c r="D120"/>
  <c r="D121"/>
  <c r="D122"/>
  <c r="D123"/>
  <c r="D130"/>
  <c r="D131"/>
  <c r="D132"/>
  <c r="D133"/>
  <c r="D134"/>
  <c r="D135"/>
  <c r="D136"/>
  <c r="D137"/>
  <c r="D138"/>
  <c r="D139"/>
  <c r="D140"/>
  <c r="D141"/>
  <c r="D147"/>
  <c r="D148"/>
  <c r="D149"/>
  <c r="D150"/>
  <c r="D151"/>
  <c r="D152"/>
  <c r="D153"/>
  <c r="D154"/>
  <c r="D155"/>
  <c r="D156"/>
  <c r="D157"/>
  <c r="D158"/>
  <c r="D159"/>
  <c r="D160"/>
  <c r="D165"/>
  <c r="D166"/>
  <c r="D167"/>
  <c r="D168"/>
  <c r="D169"/>
  <c r="D170"/>
  <c r="D171"/>
  <c r="D172"/>
  <c r="D176"/>
  <c r="D177"/>
  <c r="D180"/>
  <c r="D183"/>
  <c r="D186"/>
  <c r="D189"/>
  <c r="D192"/>
  <c r="D195"/>
  <c r="D196"/>
  <c r="D197"/>
  <c r="D200"/>
  <c r="D203"/>
  <c r="D206"/>
  <c r="D207"/>
  <c r="D210"/>
  <c r="D214"/>
  <c r="D215"/>
  <c r="D216"/>
  <c r="D217"/>
  <c r="D218"/>
  <c r="D219"/>
  <c r="D220"/>
  <c r="D221"/>
  <c r="D222"/>
  <c r="D223"/>
  <c r="D224"/>
  <c r="D226"/>
  <c r="D227"/>
  <c r="D228"/>
  <c r="D234"/>
  <c r="D235"/>
  <c r="D236"/>
  <c r="D237"/>
  <c r="D238"/>
  <c r="D239"/>
  <c r="D240"/>
  <c r="D241"/>
  <c r="D243"/>
  <c r="D244"/>
  <c r="D245"/>
  <c r="D246"/>
  <c r="D248"/>
  <c r="D249"/>
  <c r="D250"/>
  <c r="D251"/>
  <c r="D252"/>
  <c r="D253"/>
  <c r="D254"/>
  <c r="D255"/>
  <c r="D256"/>
  <c r="D257"/>
  <c r="D258"/>
  <c r="D259"/>
  <c r="D260"/>
  <c r="B261"/>
  <c r="D261"/>
  <c r="D264"/>
  <c r="D267"/>
  <c r="D270"/>
  <c r="D273"/>
  <c r="D2"/>
  <c r="B5" i="19"/>
  <c r="D5" i="3"/>
  <c r="D6"/>
  <c r="D7"/>
  <c r="D10"/>
  <c r="D13"/>
  <c r="D16"/>
  <c r="D19"/>
  <c r="D20"/>
  <c r="D21"/>
  <c r="D22"/>
  <c r="D25"/>
  <c r="D26"/>
  <c r="D27"/>
  <c r="D30"/>
  <c r="D31"/>
  <c r="D32"/>
  <c r="D33"/>
  <c r="D36"/>
  <c r="D37"/>
  <c r="D38"/>
  <c r="D39"/>
  <c r="D40"/>
  <c r="D43"/>
  <c r="D46"/>
  <c r="D47"/>
  <c r="D48"/>
  <c r="D49"/>
  <c r="D52"/>
  <c r="D53"/>
  <c r="D56"/>
  <c r="D59"/>
  <c r="D62"/>
  <c r="D63"/>
  <c r="D66"/>
  <c r="D67"/>
  <c r="D70"/>
  <c r="D73"/>
  <c r="D76"/>
  <c r="D77"/>
  <c r="D78"/>
  <c r="D81"/>
  <c r="D82"/>
  <c r="D83"/>
  <c r="D87"/>
  <c r="D88"/>
  <c r="D89"/>
  <c r="D90"/>
  <c r="D91"/>
  <c r="D92"/>
  <c r="D93"/>
  <c r="D94"/>
  <c r="D95"/>
  <c r="D96"/>
  <c r="D97"/>
  <c r="D102"/>
  <c r="D103"/>
  <c r="D104"/>
  <c r="D107"/>
  <c r="D108"/>
  <c r="D109"/>
  <c r="D110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46"/>
  <c r="D147"/>
  <c r="D149"/>
  <c r="D151"/>
  <c r="D152"/>
  <c r="D154"/>
  <c r="D155"/>
  <c r="D157"/>
  <c r="D158"/>
  <c r="D159"/>
  <c r="D161"/>
  <c r="D162"/>
  <c r="D163"/>
  <c r="D164"/>
  <c r="D165"/>
  <c r="D166"/>
  <c r="D167"/>
  <c r="D168"/>
  <c r="D169"/>
  <c r="D170"/>
  <c r="D171"/>
  <c r="D173"/>
  <c r="D174"/>
  <c r="D175"/>
  <c r="D176"/>
  <c r="D178"/>
  <c r="D179"/>
  <c r="D180"/>
  <c r="D181"/>
  <c r="D182"/>
  <c r="D184"/>
  <c r="D185"/>
  <c r="D186"/>
  <c r="D187"/>
  <c r="D188"/>
  <c r="D189"/>
  <c r="D190"/>
  <c r="D192"/>
  <c r="D193"/>
  <c r="D194"/>
  <c r="D195"/>
  <c r="D197"/>
  <c r="D198"/>
  <c r="D199"/>
  <c r="D200"/>
  <c r="D201"/>
  <c r="D203"/>
  <c r="D204"/>
  <c r="D205"/>
  <c r="D206"/>
  <c r="D208"/>
  <c r="D209"/>
  <c r="D210"/>
  <c r="D211"/>
  <c r="D212"/>
  <c r="D220"/>
  <c r="D221"/>
  <c r="D222"/>
  <c r="D223"/>
  <c r="D224"/>
  <c r="D225"/>
  <c r="D226"/>
  <c r="D227"/>
  <c r="D228"/>
  <c r="D229"/>
  <c r="D234"/>
  <c r="D235"/>
  <c r="D236"/>
  <c r="D237"/>
  <c r="D238"/>
  <c r="D239"/>
  <c r="D240"/>
  <c r="D241"/>
  <c r="D242"/>
  <c r="D245"/>
  <c r="D246"/>
  <c r="D249"/>
  <c r="D250"/>
  <c r="D251"/>
  <c r="D252"/>
  <c r="D253"/>
  <c r="D254"/>
  <c r="D257"/>
  <c r="D258"/>
  <c r="D259"/>
  <c r="D262"/>
  <c r="D263"/>
  <c r="D264"/>
  <c r="D267"/>
  <c r="D268"/>
  <c r="D269"/>
  <c r="D273"/>
  <c r="D274"/>
  <c r="D277"/>
  <c r="D278"/>
  <c r="D279"/>
  <c r="D282"/>
  <c r="D283"/>
  <c r="D284"/>
  <c r="D288"/>
  <c r="D291"/>
  <c r="D292"/>
  <c r="D293"/>
  <c r="D297"/>
  <c r="D301"/>
  <c r="D302"/>
  <c r="D303"/>
  <c r="D304"/>
  <c r="D305"/>
  <c r="D306"/>
  <c r="D307"/>
  <c r="D310"/>
  <c r="D314"/>
  <c r="D317"/>
  <c r="D320"/>
  <c r="D323"/>
  <c r="D326"/>
  <c r="D329"/>
  <c r="D2"/>
  <c r="B6" i="19"/>
  <c r="D5" i="4"/>
  <c r="D6"/>
  <c r="D7"/>
  <c r="D10"/>
  <c r="D13"/>
  <c r="D16"/>
  <c r="D19"/>
  <c r="D20"/>
  <c r="D23"/>
  <c r="D24"/>
  <c r="D27"/>
  <c r="D28"/>
  <c r="D29"/>
  <c r="D32"/>
  <c r="D33"/>
  <c r="D34"/>
  <c r="D35"/>
  <c r="D36"/>
  <c r="D39"/>
  <c r="D42"/>
  <c r="D43"/>
  <c r="D44"/>
  <c r="D45"/>
  <c r="D48"/>
  <c r="D49"/>
  <c r="D52"/>
  <c r="D55"/>
  <c r="D58"/>
  <c r="D59"/>
  <c r="D62"/>
  <c r="D65"/>
  <c r="D68"/>
  <c r="D69"/>
  <c r="D72"/>
  <c r="D73"/>
  <c r="D74"/>
  <c r="D77"/>
  <c r="D78"/>
  <c r="D79"/>
  <c r="D83"/>
  <c r="D84"/>
  <c r="D85"/>
  <c r="D86"/>
  <c r="D87"/>
  <c r="D88"/>
  <c r="D89"/>
  <c r="D90"/>
  <c r="D91"/>
  <c r="D93"/>
  <c r="D94"/>
  <c r="D95"/>
  <c r="D96"/>
  <c r="D99"/>
  <c r="D100"/>
  <c r="D101"/>
  <c r="D104"/>
  <c r="D108"/>
  <c r="D109"/>
  <c r="D110"/>
  <c r="D111"/>
  <c r="D112"/>
  <c r="D113"/>
  <c r="D114"/>
  <c r="D115"/>
  <c r="D116"/>
  <c r="D117"/>
  <c r="D118"/>
  <c r="D119"/>
  <c r="D120"/>
  <c r="D121"/>
  <c r="D122"/>
  <c r="D123"/>
  <c r="D129"/>
  <c r="D130"/>
  <c r="D131"/>
  <c r="D132"/>
  <c r="D133"/>
  <c r="D134"/>
  <c r="D135"/>
  <c r="D136"/>
  <c r="D137"/>
  <c r="D138"/>
  <c r="D139"/>
  <c r="D140"/>
  <c r="D146"/>
  <c r="D147"/>
  <c r="D148"/>
  <c r="D149"/>
  <c r="D150"/>
  <c r="D151"/>
  <c r="D152"/>
  <c r="D153"/>
  <c r="D154"/>
  <c r="D155"/>
  <c r="D156"/>
  <c r="D157"/>
  <c r="D158"/>
  <c r="D159"/>
  <c r="D165"/>
  <c r="D166"/>
  <c r="D167"/>
  <c r="D168"/>
  <c r="D169"/>
  <c r="D170"/>
  <c r="D171"/>
  <c r="D172"/>
  <c r="D176"/>
  <c r="D177"/>
  <c r="D180"/>
  <c r="D181"/>
  <c r="D184"/>
  <c r="D187"/>
  <c r="D190"/>
  <c r="D193"/>
  <c r="D194"/>
  <c r="D195"/>
  <c r="D198"/>
  <c r="D199"/>
  <c r="D200"/>
  <c r="D203"/>
  <c r="D206"/>
  <c r="D209"/>
  <c r="D212"/>
  <c r="D213"/>
  <c r="D214"/>
  <c r="D215"/>
  <c r="D216"/>
  <c r="D217"/>
  <c r="D221"/>
  <c r="D224"/>
  <c r="D227"/>
  <c r="D230"/>
  <c r="D233"/>
  <c r="D236"/>
  <c r="D2"/>
  <c r="B7" i="19"/>
  <c r="D5" i="5"/>
  <c r="D6"/>
  <c r="D7"/>
  <c r="D10"/>
  <c r="D13"/>
  <c r="D14"/>
  <c r="D15"/>
  <c r="D18"/>
  <c r="D21"/>
  <c r="D24"/>
  <c r="D25"/>
  <c r="D28"/>
  <c r="D31"/>
  <c r="D32"/>
  <c r="D33"/>
  <c r="D34"/>
  <c r="D35"/>
  <c r="D38"/>
  <c r="D41"/>
  <c r="D42"/>
  <c r="D43"/>
  <c r="D44"/>
  <c r="D47"/>
  <c r="D48"/>
  <c r="D51"/>
  <c r="D54"/>
  <c r="D57"/>
  <c r="D58"/>
  <c r="D61"/>
  <c r="D64"/>
  <c r="D67"/>
  <c r="D68"/>
  <c r="D71"/>
  <c r="D72"/>
  <c r="D73"/>
  <c r="D76"/>
  <c r="D77"/>
  <c r="D78"/>
  <c r="D83"/>
  <c r="D84"/>
  <c r="D85"/>
  <c r="D86"/>
  <c r="D87"/>
  <c r="D88"/>
  <c r="D89"/>
  <c r="D90"/>
  <c r="D91"/>
  <c r="D93"/>
  <c r="D94"/>
  <c r="D95"/>
  <c r="D96"/>
  <c r="D99"/>
  <c r="D100"/>
  <c r="D101"/>
  <c r="D104"/>
  <c r="D105"/>
  <c r="D106"/>
  <c r="D107"/>
  <c r="D111"/>
  <c r="D112"/>
  <c r="D113"/>
  <c r="D114"/>
  <c r="D115"/>
  <c r="D116"/>
  <c r="D117"/>
  <c r="D118"/>
  <c r="D119"/>
  <c r="D120"/>
  <c r="D121"/>
  <c r="D122"/>
  <c r="D123"/>
  <c r="D124"/>
  <c r="D125"/>
  <c r="D126"/>
  <c r="D132"/>
  <c r="D133"/>
  <c r="D134"/>
  <c r="D135"/>
  <c r="D136"/>
  <c r="D137"/>
  <c r="D138"/>
  <c r="D139"/>
  <c r="D140"/>
  <c r="D141"/>
  <c r="D142"/>
  <c r="D143"/>
  <c r="D149"/>
  <c r="D150"/>
  <c r="D151"/>
  <c r="D152"/>
  <c r="D153"/>
  <c r="D154"/>
  <c r="D155"/>
  <c r="D156"/>
  <c r="D157"/>
  <c r="D158"/>
  <c r="D159"/>
  <c r="D160"/>
  <c r="D161"/>
  <c r="D162"/>
  <c r="D167"/>
  <c r="D168"/>
  <c r="D169"/>
  <c r="D170"/>
  <c r="D171"/>
  <c r="D172"/>
  <c r="D173"/>
  <c r="D174"/>
  <c r="D178"/>
  <c r="D179"/>
  <c r="D182"/>
  <c r="D185"/>
  <c r="D188"/>
  <c r="D189"/>
  <c r="D190"/>
  <c r="D194"/>
  <c r="D197"/>
  <c r="D200"/>
  <c r="D201"/>
  <c r="D202"/>
  <c r="D205"/>
  <c r="D208"/>
  <c r="D211"/>
  <c r="D214"/>
  <c r="D215"/>
  <c r="D216"/>
  <c r="D217"/>
  <c r="D218"/>
  <c r="D219"/>
  <c r="D223"/>
  <c r="D228"/>
  <c r="D229"/>
  <c r="D230"/>
  <c r="D231"/>
  <c r="D232"/>
  <c r="D233"/>
  <c r="D234"/>
  <c r="D235"/>
  <c r="D236"/>
  <c r="D237"/>
  <c r="D238"/>
  <c r="D240"/>
  <c r="D241"/>
  <c r="D242"/>
  <c r="D248"/>
  <c r="D249"/>
  <c r="D250"/>
  <c r="D251"/>
  <c r="D252"/>
  <c r="D253"/>
  <c r="D254"/>
  <c r="D255"/>
  <c r="D257"/>
  <c r="D258"/>
  <c r="D259"/>
  <c r="D260"/>
  <c r="D262"/>
  <c r="D263"/>
  <c r="D264"/>
  <c r="D265"/>
  <c r="D266"/>
  <c r="D267"/>
  <c r="D268"/>
  <c r="D269"/>
  <c r="D270"/>
  <c r="D271"/>
  <c r="D272"/>
  <c r="D273"/>
  <c r="D274"/>
  <c r="B275"/>
  <c r="D275"/>
  <c r="D278"/>
  <c r="D281"/>
  <c r="D284"/>
  <c r="D287"/>
  <c r="D2"/>
  <c r="B8" i="19"/>
  <c r="D5" i="6"/>
  <c r="D6"/>
  <c r="D7"/>
  <c r="D10"/>
  <c r="D13"/>
  <c r="D16"/>
  <c r="D19"/>
  <c r="D20"/>
  <c r="D21"/>
  <c r="D22"/>
  <c r="D25"/>
  <c r="D26"/>
  <c r="D27"/>
  <c r="D30"/>
  <c r="D33"/>
  <c r="D34"/>
  <c r="D35"/>
  <c r="D36"/>
  <c r="D37"/>
  <c r="D40"/>
  <c r="D43"/>
  <c r="D44"/>
  <c r="D45"/>
  <c r="D46"/>
  <c r="D49"/>
  <c r="D50"/>
  <c r="D53"/>
  <c r="D56"/>
  <c r="D60"/>
  <c r="D61"/>
  <c r="D64"/>
  <c r="D65"/>
  <c r="D68"/>
  <c r="D71"/>
  <c r="D74"/>
  <c r="D75"/>
  <c r="D76"/>
  <c r="D79"/>
  <c r="D80"/>
  <c r="D81"/>
  <c r="D86"/>
  <c r="D87"/>
  <c r="D88"/>
  <c r="D89"/>
  <c r="D90"/>
  <c r="D91"/>
  <c r="D92"/>
  <c r="D93"/>
  <c r="D94"/>
  <c r="D96"/>
  <c r="D97"/>
  <c r="D98"/>
  <c r="D99"/>
  <c r="D103"/>
  <c r="D104"/>
  <c r="D105"/>
  <c r="D108"/>
  <c r="D109"/>
  <c r="D110"/>
  <c r="D111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7"/>
  <c r="D148"/>
  <c r="D150"/>
  <c r="D152"/>
  <c r="D153"/>
  <c r="D155"/>
  <c r="D156"/>
  <c r="D158"/>
  <c r="D159"/>
  <c r="D160"/>
  <c r="D162"/>
  <c r="D163"/>
  <c r="D164"/>
  <c r="D165"/>
  <c r="D166"/>
  <c r="D167"/>
  <c r="D168"/>
  <c r="D169"/>
  <c r="D170"/>
  <c r="D171"/>
  <c r="D172"/>
  <c r="D174"/>
  <c r="D175"/>
  <c r="D176"/>
  <c r="D177"/>
  <c r="D179"/>
  <c r="D180"/>
  <c r="D181"/>
  <c r="D182"/>
  <c r="D183"/>
  <c r="D185"/>
  <c r="D186"/>
  <c r="D187"/>
  <c r="D188"/>
  <c r="D189"/>
  <c r="D190"/>
  <c r="D191"/>
  <c r="D193"/>
  <c r="D194"/>
  <c r="D195"/>
  <c r="D196"/>
  <c r="D198"/>
  <c r="D199"/>
  <c r="D200"/>
  <c r="D201"/>
  <c r="D202"/>
  <c r="D204"/>
  <c r="D205"/>
  <c r="D206"/>
  <c r="D207"/>
  <c r="D209"/>
  <c r="D210"/>
  <c r="D211"/>
  <c r="D212"/>
  <c r="D213"/>
  <c r="D220"/>
  <c r="D221"/>
  <c r="D222"/>
  <c r="D223"/>
  <c r="D224"/>
  <c r="D225"/>
  <c r="D226"/>
  <c r="D227"/>
  <c r="D228"/>
  <c r="D229"/>
  <c r="D234"/>
  <c r="D235"/>
  <c r="D236"/>
  <c r="D237"/>
  <c r="D238"/>
  <c r="D239"/>
  <c r="D240"/>
  <c r="D241"/>
  <c r="D242"/>
  <c r="D245"/>
  <c r="D246"/>
  <c r="D250"/>
  <c r="D251"/>
  <c r="D252"/>
  <c r="D253"/>
  <c r="D254"/>
  <c r="D255"/>
  <c r="D258"/>
  <c r="D261"/>
  <c r="D262"/>
  <c r="D263"/>
  <c r="D266"/>
  <c r="D267"/>
  <c r="D268"/>
  <c r="D272"/>
  <c r="D275"/>
  <c r="D276"/>
  <c r="D277"/>
  <c r="D280"/>
  <c r="D281"/>
  <c r="D282"/>
  <c r="D286"/>
  <c r="D289"/>
  <c r="D290"/>
  <c r="D291"/>
  <c r="D295"/>
  <c r="D300"/>
  <c r="D301"/>
  <c r="D302"/>
  <c r="D303"/>
  <c r="D304"/>
  <c r="D305"/>
  <c r="D306"/>
  <c r="D309"/>
  <c r="D312"/>
  <c r="D315"/>
  <c r="D318"/>
  <c r="D321"/>
  <c r="D324"/>
  <c r="D327"/>
  <c r="D2"/>
  <c r="B9" i="19"/>
  <c r="D5" i="8"/>
  <c r="D6"/>
  <c r="D7"/>
  <c r="D10"/>
  <c r="D13"/>
  <c r="D14"/>
  <c r="D15"/>
  <c r="D18"/>
  <c r="D21"/>
  <c r="D22"/>
  <c r="D25"/>
  <c r="D26"/>
  <c r="D29"/>
  <c r="D32"/>
  <c r="D33"/>
  <c r="D34"/>
  <c r="D35"/>
  <c r="D36"/>
  <c r="D39"/>
  <c r="D42"/>
  <c r="D43"/>
  <c r="D44"/>
  <c r="D45"/>
  <c r="D48"/>
  <c r="D49"/>
  <c r="D52"/>
  <c r="D55"/>
  <c r="D58"/>
  <c r="D59"/>
  <c r="D62"/>
  <c r="D65"/>
  <c r="D68"/>
  <c r="D69"/>
  <c r="D72"/>
  <c r="D73"/>
  <c r="D74"/>
  <c r="D77"/>
  <c r="D78"/>
  <c r="D79"/>
  <c r="D83"/>
  <c r="D84"/>
  <c r="D85"/>
  <c r="D86"/>
  <c r="D87"/>
  <c r="D88"/>
  <c r="D89"/>
  <c r="D90"/>
  <c r="D91"/>
  <c r="D93"/>
  <c r="D94"/>
  <c r="D95"/>
  <c r="D96"/>
  <c r="D99"/>
  <c r="D100"/>
  <c r="D101"/>
  <c r="D104"/>
  <c r="D105"/>
  <c r="D106"/>
  <c r="D107"/>
  <c r="D111"/>
  <c r="D112"/>
  <c r="D113"/>
  <c r="D114"/>
  <c r="D115"/>
  <c r="D116"/>
  <c r="D117"/>
  <c r="D118"/>
  <c r="D119"/>
  <c r="D120"/>
  <c r="D121"/>
  <c r="D122"/>
  <c r="D123"/>
  <c r="D124"/>
  <c r="D125"/>
  <c r="D126"/>
  <c r="D132"/>
  <c r="D133"/>
  <c r="D134"/>
  <c r="D135"/>
  <c r="D136"/>
  <c r="D137"/>
  <c r="D138"/>
  <c r="D139"/>
  <c r="D140"/>
  <c r="D141"/>
  <c r="D142"/>
  <c r="D143"/>
  <c r="D149"/>
  <c r="D150"/>
  <c r="D151"/>
  <c r="D152"/>
  <c r="D153"/>
  <c r="D154"/>
  <c r="D155"/>
  <c r="D156"/>
  <c r="D157"/>
  <c r="D158"/>
  <c r="D159"/>
  <c r="D160"/>
  <c r="D161"/>
  <c r="D162"/>
  <c r="D168"/>
  <c r="D169"/>
  <c r="D170"/>
  <c r="D171"/>
  <c r="D172"/>
  <c r="D173"/>
  <c r="D174"/>
  <c r="D175"/>
  <c r="D179"/>
  <c r="D180"/>
  <c r="D183"/>
  <c r="D186"/>
  <c r="D189"/>
  <c r="D190"/>
  <c r="D191"/>
  <c r="D195"/>
  <c r="D198"/>
  <c r="D201"/>
  <c r="D202"/>
  <c r="D203"/>
  <c r="D206"/>
  <c r="D209"/>
  <c r="D212"/>
  <c r="D215"/>
  <c r="D216"/>
  <c r="D217"/>
  <c r="D218"/>
  <c r="D219"/>
  <c r="D220"/>
  <c r="D224"/>
  <c r="D228"/>
  <c r="D229"/>
  <c r="D230"/>
  <c r="D231"/>
  <c r="D232"/>
  <c r="D233"/>
  <c r="D234"/>
  <c r="D235"/>
  <c r="D236"/>
  <c r="D237"/>
  <c r="D238"/>
  <c r="D240"/>
  <c r="D241"/>
  <c r="D242"/>
  <c r="D248"/>
  <c r="D249"/>
  <c r="D250"/>
  <c r="D251"/>
  <c r="D252"/>
  <c r="D253"/>
  <c r="D254"/>
  <c r="D255"/>
  <c r="D257"/>
  <c r="D258"/>
  <c r="D259"/>
  <c r="D260"/>
  <c r="D262"/>
  <c r="D263"/>
  <c r="D264"/>
  <c r="D265"/>
  <c r="D266"/>
  <c r="D267"/>
  <c r="D268"/>
  <c r="D269"/>
  <c r="D270"/>
  <c r="D271"/>
  <c r="D272"/>
  <c r="D273"/>
  <c r="D274"/>
  <c r="B275"/>
  <c r="D275"/>
  <c r="D278"/>
  <c r="D281"/>
  <c r="D284"/>
  <c r="D287"/>
  <c r="D2"/>
  <c r="B10" i="19"/>
  <c r="D5" i="9"/>
  <c r="D6"/>
  <c r="D7"/>
  <c r="D10"/>
  <c r="D13"/>
  <c r="D14"/>
  <c r="D15"/>
  <c r="D18"/>
  <c r="D21"/>
  <c r="D24"/>
  <c r="D27"/>
  <c r="D30"/>
  <c r="D31"/>
  <c r="D32"/>
  <c r="D33"/>
  <c r="D34"/>
  <c r="D37"/>
  <c r="D40"/>
  <c r="D41"/>
  <c r="D42"/>
  <c r="D43"/>
  <c r="D46"/>
  <c r="D47"/>
  <c r="D50"/>
  <c r="D53"/>
  <c r="D56"/>
  <c r="D57"/>
  <c r="D60"/>
  <c r="D63"/>
  <c r="D66"/>
  <c r="D67"/>
  <c r="D70"/>
  <c r="D71"/>
  <c r="D72"/>
  <c r="D75"/>
  <c r="D76"/>
  <c r="D77"/>
  <c r="D80"/>
  <c r="D83"/>
  <c r="D84"/>
  <c r="D85"/>
  <c r="D88"/>
  <c r="D89"/>
  <c r="D90"/>
  <c r="D91"/>
  <c r="D95"/>
  <c r="D96"/>
  <c r="D97"/>
  <c r="D98"/>
  <c r="D99"/>
  <c r="D100"/>
  <c r="D101"/>
  <c r="D102"/>
  <c r="D103"/>
  <c r="D104"/>
  <c r="D105"/>
  <c r="D106"/>
  <c r="D107"/>
  <c r="D108"/>
  <c r="D109"/>
  <c r="D110"/>
  <c r="D116"/>
  <c r="D117"/>
  <c r="D118"/>
  <c r="D119"/>
  <c r="D120"/>
  <c r="D121"/>
  <c r="D122"/>
  <c r="D123"/>
  <c r="D124"/>
  <c r="D125"/>
  <c r="D126"/>
  <c r="D127"/>
  <c r="D133"/>
  <c r="D134"/>
  <c r="D135"/>
  <c r="D136"/>
  <c r="D137"/>
  <c r="D138"/>
  <c r="D139"/>
  <c r="D140"/>
  <c r="D141"/>
  <c r="D142"/>
  <c r="D143"/>
  <c r="D144"/>
  <c r="D145"/>
  <c r="D146"/>
  <c r="D152"/>
  <c r="D153"/>
  <c r="D154"/>
  <c r="D155"/>
  <c r="D156"/>
  <c r="D157"/>
  <c r="D158"/>
  <c r="D159"/>
  <c r="D163"/>
  <c r="D164"/>
  <c r="D167"/>
  <c r="D170"/>
  <c r="D173"/>
  <c r="D177"/>
  <c r="D180"/>
  <c r="D183"/>
  <c r="D184"/>
  <c r="D185"/>
  <c r="D188"/>
  <c r="D191"/>
  <c r="D194"/>
  <c r="D197"/>
  <c r="D198"/>
  <c r="D199"/>
  <c r="D200"/>
  <c r="D201"/>
  <c r="D202"/>
  <c r="D205"/>
  <c r="D209"/>
  <c r="D210"/>
  <c r="D211"/>
  <c r="D212"/>
  <c r="D213"/>
  <c r="D214"/>
  <c r="D215"/>
  <c r="D216"/>
  <c r="D217"/>
  <c r="D218"/>
  <c r="D219"/>
  <c r="D221"/>
  <c r="D222"/>
  <c r="D223"/>
  <c r="D229"/>
  <c r="D230"/>
  <c r="D231"/>
  <c r="D232"/>
  <c r="D233"/>
  <c r="D234"/>
  <c r="D235"/>
  <c r="D236"/>
  <c r="D238"/>
  <c r="D239"/>
  <c r="D240"/>
  <c r="D241"/>
  <c r="D243"/>
  <c r="D244"/>
  <c r="D245"/>
  <c r="D246"/>
  <c r="D247"/>
  <c r="D248"/>
  <c r="D249"/>
  <c r="D250"/>
  <c r="D251"/>
  <c r="D252"/>
  <c r="D253"/>
  <c r="D254"/>
  <c r="D255"/>
  <c r="B256"/>
  <c r="D256"/>
  <c r="D259"/>
  <c r="D262"/>
  <c r="D265"/>
  <c r="D268"/>
  <c r="D2"/>
  <c r="B11" i="19"/>
  <c r="D5" i="10"/>
  <c r="D6"/>
  <c r="D7"/>
  <c r="D10"/>
  <c r="D13"/>
  <c r="D14"/>
  <c r="D15"/>
  <c r="D18"/>
  <c r="D21"/>
  <c r="D22"/>
  <c r="D25"/>
  <c r="D28"/>
  <c r="D31"/>
  <c r="D32"/>
  <c r="D33"/>
  <c r="D34"/>
  <c r="D35"/>
  <c r="D38"/>
  <c r="D41"/>
  <c r="D42"/>
  <c r="D43"/>
  <c r="D44"/>
  <c r="D47"/>
  <c r="D48"/>
  <c r="D51"/>
  <c r="D54"/>
  <c r="D57"/>
  <c r="D58"/>
  <c r="D61"/>
  <c r="D64"/>
  <c r="D67"/>
  <c r="D70"/>
  <c r="D71"/>
  <c r="D72"/>
  <c r="D75"/>
  <c r="D76"/>
  <c r="D77"/>
  <c r="D82"/>
  <c r="D83"/>
  <c r="D84"/>
  <c r="D85"/>
  <c r="D86"/>
  <c r="D87"/>
  <c r="D88"/>
  <c r="D89"/>
  <c r="D90"/>
  <c r="D92"/>
  <c r="D93"/>
  <c r="D94"/>
  <c r="D95"/>
  <c r="D98"/>
  <c r="D99"/>
  <c r="D100"/>
  <c r="D103"/>
  <c r="D104"/>
  <c r="D105"/>
  <c r="D106"/>
  <c r="D110"/>
  <c r="D111"/>
  <c r="D112"/>
  <c r="D113"/>
  <c r="D114"/>
  <c r="D115"/>
  <c r="D116"/>
  <c r="D117"/>
  <c r="D118"/>
  <c r="D119"/>
  <c r="D120"/>
  <c r="D121"/>
  <c r="D122"/>
  <c r="D123"/>
  <c r="D124"/>
  <c r="D125"/>
  <c r="D131"/>
  <c r="D132"/>
  <c r="D133"/>
  <c r="D134"/>
  <c r="D135"/>
  <c r="D136"/>
  <c r="D137"/>
  <c r="D138"/>
  <c r="D139"/>
  <c r="D140"/>
  <c r="D141"/>
  <c r="D142"/>
  <c r="D148"/>
  <c r="D149"/>
  <c r="D150"/>
  <c r="D151"/>
  <c r="D152"/>
  <c r="D153"/>
  <c r="D154"/>
  <c r="D155"/>
  <c r="D156"/>
  <c r="D157"/>
  <c r="D158"/>
  <c r="D159"/>
  <c r="D160"/>
  <c r="D161"/>
  <c r="D167"/>
  <c r="D168"/>
  <c r="D169"/>
  <c r="D170"/>
  <c r="D171"/>
  <c r="D172"/>
  <c r="D173"/>
  <c r="D174"/>
  <c r="D178"/>
  <c r="D179"/>
  <c r="D182"/>
  <c r="D185"/>
  <c r="D188"/>
  <c r="D189"/>
  <c r="D190"/>
  <c r="D194"/>
  <c r="D197"/>
  <c r="D200"/>
  <c r="D201"/>
  <c r="D202"/>
  <c r="D205"/>
  <c r="D208"/>
  <c r="D211"/>
  <c r="D214"/>
  <c r="D215"/>
  <c r="D216"/>
  <c r="D217"/>
  <c r="D218"/>
  <c r="D219"/>
  <c r="D223"/>
  <c r="D227"/>
  <c r="D228"/>
  <c r="D229"/>
  <c r="D230"/>
  <c r="D231"/>
  <c r="D232"/>
  <c r="D233"/>
  <c r="D234"/>
  <c r="D235"/>
  <c r="D236"/>
  <c r="D237"/>
  <c r="D239"/>
  <c r="D240"/>
  <c r="D241"/>
  <c r="D247"/>
  <c r="D248"/>
  <c r="D249"/>
  <c r="D250"/>
  <c r="D251"/>
  <c r="D252"/>
  <c r="D253"/>
  <c r="D254"/>
  <c r="D256"/>
  <c r="D257"/>
  <c r="D258"/>
  <c r="D259"/>
  <c r="D261"/>
  <c r="D262"/>
  <c r="D263"/>
  <c r="D264"/>
  <c r="D265"/>
  <c r="D266"/>
  <c r="D267"/>
  <c r="D268"/>
  <c r="D269"/>
  <c r="D270"/>
  <c r="D271"/>
  <c r="D272"/>
  <c r="D273"/>
  <c r="B274"/>
  <c r="D274"/>
  <c r="D278"/>
  <c r="D281"/>
  <c r="D284"/>
  <c r="D287"/>
  <c r="D2"/>
  <c r="B12" i="19"/>
  <c r="D5" i="7"/>
  <c r="D6"/>
  <c r="D7"/>
  <c r="D10"/>
  <c r="D13"/>
  <c r="D16"/>
  <c r="D19"/>
  <c r="D22"/>
  <c r="D23"/>
  <c r="D24"/>
  <c r="D27"/>
  <c r="D28"/>
  <c r="D29"/>
  <c r="D30"/>
  <c r="D34"/>
  <c r="D35"/>
  <c r="D36"/>
  <c r="D37"/>
  <c r="D38"/>
  <c r="D41"/>
  <c r="D44"/>
  <c r="D47"/>
  <c r="D48"/>
  <c r="D51"/>
  <c r="D54"/>
  <c r="D57"/>
  <c r="D58"/>
  <c r="D61"/>
  <c r="D62"/>
  <c r="D65"/>
  <c r="D68"/>
  <c r="D71"/>
  <c r="D72"/>
  <c r="D73"/>
  <c r="D76"/>
  <c r="D77"/>
  <c r="D78"/>
  <c r="D82"/>
  <c r="D83"/>
  <c r="D84"/>
  <c r="D85"/>
  <c r="D86"/>
  <c r="D87"/>
  <c r="D88"/>
  <c r="D89"/>
  <c r="D90"/>
  <c r="D91"/>
  <c r="D92"/>
  <c r="D97"/>
  <c r="D98"/>
  <c r="D99"/>
  <c r="D102"/>
  <c r="D103"/>
  <c r="D104"/>
  <c r="D105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40"/>
  <c r="D141"/>
  <c r="D142"/>
  <c r="D143"/>
  <c r="D144"/>
  <c r="D145"/>
  <c r="D146"/>
  <c r="D147"/>
  <c r="D148"/>
  <c r="D149"/>
  <c r="D150"/>
  <c r="D151"/>
  <c r="D152"/>
  <c r="D159"/>
  <c r="D160"/>
  <c r="D161"/>
  <c r="D162"/>
  <c r="D163"/>
  <c r="D164"/>
  <c r="D165"/>
  <c r="D166"/>
  <c r="D167"/>
  <c r="D168"/>
  <c r="D173"/>
  <c r="D174"/>
  <c r="D175"/>
  <c r="D176"/>
  <c r="D177"/>
  <c r="D178"/>
  <c r="D179"/>
  <c r="D180"/>
  <c r="D181"/>
  <c r="D184"/>
  <c r="D185"/>
  <c r="D188"/>
  <c r="D189"/>
  <c r="D190"/>
  <c r="D191"/>
  <c r="D192"/>
  <c r="D193"/>
  <c r="D196"/>
  <c r="D199"/>
  <c r="D200"/>
  <c r="D201"/>
  <c r="D204"/>
  <c r="D205"/>
  <c r="D206"/>
  <c r="D210"/>
  <c r="D211"/>
  <c r="D214"/>
  <c r="D215"/>
  <c r="D216"/>
  <c r="D219"/>
  <c r="D220"/>
  <c r="D221"/>
  <c r="D225"/>
  <c r="D228"/>
  <c r="D229"/>
  <c r="D230"/>
  <c r="D234"/>
  <c r="D238"/>
  <c r="D239"/>
  <c r="D240"/>
  <c r="D241"/>
  <c r="D242"/>
  <c r="D243"/>
  <c r="D244"/>
  <c r="D247"/>
  <c r="D250"/>
  <c r="D253"/>
  <c r="D256"/>
  <c r="D259"/>
  <c r="D262"/>
  <c r="D265"/>
  <c r="D2"/>
  <c r="B13" i="19"/>
  <c r="D5" i="13"/>
  <c r="D6"/>
  <c r="D7"/>
  <c r="D10"/>
  <c r="D13"/>
  <c r="D16"/>
  <c r="D17"/>
  <c r="D18"/>
  <c r="D21"/>
  <c r="D22"/>
  <c r="D25"/>
  <c r="D26"/>
  <c r="D29"/>
  <c r="D30"/>
  <c r="D31"/>
  <c r="D34"/>
  <c r="D35"/>
  <c r="D36"/>
  <c r="D37"/>
  <c r="D38"/>
  <c r="D41"/>
  <c r="D44"/>
  <c r="D45"/>
  <c r="D46"/>
  <c r="D47"/>
  <c r="D50"/>
  <c r="D51"/>
  <c r="D54"/>
  <c r="D57"/>
  <c r="D60"/>
  <c r="D61"/>
  <c r="D64"/>
  <c r="D67"/>
  <c r="D70"/>
  <c r="D71"/>
  <c r="D74"/>
  <c r="D75"/>
  <c r="D76"/>
  <c r="D79"/>
  <c r="D80"/>
  <c r="D81"/>
  <c r="D85"/>
  <c r="D86"/>
  <c r="D87"/>
  <c r="D88"/>
  <c r="D89"/>
  <c r="D90"/>
  <c r="D91"/>
  <c r="D92"/>
  <c r="D93"/>
  <c r="D95"/>
  <c r="D96"/>
  <c r="D97"/>
  <c r="D98"/>
  <c r="D101"/>
  <c r="D102"/>
  <c r="D103"/>
  <c r="D106"/>
  <c r="D110"/>
  <c r="D111"/>
  <c r="D112"/>
  <c r="D113"/>
  <c r="D114"/>
  <c r="D115"/>
  <c r="D116"/>
  <c r="D117"/>
  <c r="D118"/>
  <c r="D119"/>
  <c r="D120"/>
  <c r="D121"/>
  <c r="D122"/>
  <c r="D123"/>
  <c r="D124"/>
  <c r="D125"/>
  <c r="D131"/>
  <c r="D132"/>
  <c r="D133"/>
  <c r="D134"/>
  <c r="D135"/>
  <c r="D136"/>
  <c r="D137"/>
  <c r="D138"/>
  <c r="D139"/>
  <c r="D140"/>
  <c r="D141"/>
  <c r="D142"/>
  <c r="D148"/>
  <c r="D149"/>
  <c r="D150"/>
  <c r="D151"/>
  <c r="D152"/>
  <c r="D153"/>
  <c r="D154"/>
  <c r="D155"/>
  <c r="D156"/>
  <c r="D157"/>
  <c r="D158"/>
  <c r="D159"/>
  <c r="D160"/>
  <c r="D161"/>
  <c r="D167"/>
  <c r="D168"/>
  <c r="D169"/>
  <c r="D170"/>
  <c r="D171"/>
  <c r="D172"/>
  <c r="D173"/>
  <c r="D174"/>
  <c r="D178"/>
  <c r="D179"/>
  <c r="D182"/>
  <c r="D185"/>
  <c r="D186"/>
  <c r="D187"/>
  <c r="D190"/>
  <c r="D194"/>
  <c r="D197"/>
  <c r="D198"/>
  <c r="D199"/>
  <c r="D202"/>
  <c r="D203"/>
  <c r="D204"/>
  <c r="D207"/>
  <c r="D210"/>
  <c r="D213"/>
  <c r="D214"/>
  <c r="D217"/>
  <c r="D220"/>
  <c r="D223"/>
  <c r="D226"/>
  <c r="D229"/>
  <c r="D232"/>
  <c r="D2"/>
  <c r="B14" i="19"/>
  <c r="D5" i="12"/>
  <c r="D6"/>
  <c r="D7"/>
  <c r="D10"/>
  <c r="D13"/>
  <c r="D16"/>
  <c r="D17"/>
  <c r="D18"/>
  <c r="D21"/>
  <c r="D22"/>
  <c r="D25"/>
  <c r="D26"/>
  <c r="D29"/>
  <c r="D30"/>
  <c r="D31"/>
  <c r="D34"/>
  <c r="D35"/>
  <c r="D36"/>
  <c r="D37"/>
  <c r="D38"/>
  <c r="D41"/>
  <c r="D44"/>
  <c r="D45"/>
  <c r="D46"/>
  <c r="D47"/>
  <c r="D50"/>
  <c r="D51"/>
  <c r="D54"/>
  <c r="D57"/>
  <c r="D60"/>
  <c r="D61"/>
  <c r="D64"/>
  <c r="D67"/>
  <c r="D70"/>
  <c r="D71"/>
  <c r="D74"/>
  <c r="D75"/>
  <c r="D76"/>
  <c r="D79"/>
  <c r="D80"/>
  <c r="D81"/>
  <c r="D85"/>
  <c r="D86"/>
  <c r="D87"/>
  <c r="D88"/>
  <c r="D89"/>
  <c r="D90"/>
  <c r="D91"/>
  <c r="D92"/>
  <c r="D93"/>
  <c r="D95"/>
  <c r="D96"/>
  <c r="D97"/>
  <c r="D98"/>
  <c r="D101"/>
  <c r="D102"/>
  <c r="D103"/>
  <c r="D106"/>
  <c r="D110"/>
  <c r="D111"/>
  <c r="D112"/>
  <c r="D113"/>
  <c r="D114"/>
  <c r="D115"/>
  <c r="D116"/>
  <c r="D117"/>
  <c r="D118"/>
  <c r="D119"/>
  <c r="D120"/>
  <c r="D121"/>
  <c r="D122"/>
  <c r="D123"/>
  <c r="D124"/>
  <c r="D125"/>
  <c r="D131"/>
  <c r="D132"/>
  <c r="D133"/>
  <c r="D134"/>
  <c r="D135"/>
  <c r="D136"/>
  <c r="D137"/>
  <c r="D138"/>
  <c r="D139"/>
  <c r="D140"/>
  <c r="D141"/>
  <c r="D142"/>
  <c r="D148"/>
  <c r="D149"/>
  <c r="D150"/>
  <c r="D151"/>
  <c r="D152"/>
  <c r="D153"/>
  <c r="D154"/>
  <c r="D155"/>
  <c r="D156"/>
  <c r="D157"/>
  <c r="D158"/>
  <c r="D159"/>
  <c r="D160"/>
  <c r="D161"/>
  <c r="D166"/>
  <c r="D167"/>
  <c r="D168"/>
  <c r="D169"/>
  <c r="D170"/>
  <c r="D171"/>
  <c r="D172"/>
  <c r="D173"/>
  <c r="D179"/>
  <c r="D180"/>
  <c r="D183"/>
  <c r="D186"/>
  <c r="D187"/>
  <c r="D188"/>
  <c r="D191"/>
  <c r="D195"/>
  <c r="D198"/>
  <c r="D199"/>
  <c r="D200"/>
  <c r="D203"/>
  <c r="D204"/>
  <c r="D205"/>
  <c r="D209"/>
  <c r="D212"/>
  <c r="D215"/>
  <c r="D216"/>
  <c r="D219"/>
  <c r="D222"/>
  <c r="D225"/>
  <c r="D228"/>
  <c r="D231"/>
  <c r="D234"/>
  <c r="D2"/>
  <c r="B15" i="19"/>
  <c r="D5" i="14"/>
  <c r="D6"/>
  <c r="D7"/>
  <c r="D11"/>
  <c r="D14"/>
  <c r="D17"/>
  <c r="D18"/>
  <c r="D19"/>
  <c r="D22"/>
  <c r="D23"/>
  <c r="D24"/>
  <c r="D25"/>
  <c r="D28"/>
  <c r="D29"/>
  <c r="D30"/>
  <c r="D33"/>
  <c r="D36"/>
  <c r="D37"/>
  <c r="D38"/>
  <c r="D39"/>
  <c r="D40"/>
  <c r="D43"/>
  <c r="D46"/>
  <c r="D47"/>
  <c r="D48"/>
  <c r="D49"/>
  <c r="D52"/>
  <c r="D53"/>
  <c r="D56"/>
  <c r="D59"/>
  <c r="D62"/>
  <c r="D63"/>
  <c r="D66"/>
  <c r="D69"/>
  <c r="D72"/>
  <c r="D73"/>
  <c r="D76"/>
  <c r="D77"/>
  <c r="D78"/>
  <c r="D81"/>
  <c r="D82"/>
  <c r="D83"/>
  <c r="D87"/>
  <c r="D88"/>
  <c r="D89"/>
  <c r="D90"/>
  <c r="D91"/>
  <c r="D92"/>
  <c r="D93"/>
  <c r="D94"/>
  <c r="D95"/>
  <c r="D96"/>
  <c r="D97"/>
  <c r="D103"/>
  <c r="D104"/>
  <c r="D105"/>
  <c r="D108"/>
  <c r="D109"/>
  <c r="D110"/>
  <c r="D111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9"/>
  <c r="D150"/>
  <c r="D152"/>
  <c r="D154"/>
  <c r="D155"/>
  <c r="D157"/>
  <c r="D158"/>
  <c r="D160"/>
  <c r="D161"/>
  <c r="D162"/>
  <c r="D164"/>
  <c r="D165"/>
  <c r="D166"/>
  <c r="D167"/>
  <c r="D168"/>
  <c r="D169"/>
  <c r="D170"/>
  <c r="D171"/>
  <c r="D172"/>
  <c r="D173"/>
  <c r="D174"/>
  <c r="D176"/>
  <c r="D177"/>
  <c r="D178"/>
  <c r="D179"/>
  <c r="D181"/>
  <c r="D182"/>
  <c r="D183"/>
  <c r="D184"/>
  <c r="D185"/>
  <c r="D187"/>
  <c r="D188"/>
  <c r="D189"/>
  <c r="D190"/>
  <c r="D191"/>
  <c r="D192"/>
  <c r="D193"/>
  <c r="D195"/>
  <c r="D196"/>
  <c r="D197"/>
  <c r="D198"/>
  <c r="D200"/>
  <c r="D201"/>
  <c r="D202"/>
  <c r="D203"/>
  <c r="D204"/>
  <c r="D206"/>
  <c r="D207"/>
  <c r="D208"/>
  <c r="D209"/>
  <c r="D211"/>
  <c r="D212"/>
  <c r="D213"/>
  <c r="D214"/>
  <c r="D215"/>
  <c r="D222"/>
  <c r="D223"/>
  <c r="D224"/>
  <c r="D225"/>
  <c r="D226"/>
  <c r="D227"/>
  <c r="D228"/>
  <c r="D229"/>
  <c r="D230"/>
  <c r="D233"/>
  <c r="D234"/>
  <c r="D2"/>
  <c r="B16" i="19"/>
  <c r="D5" i="15"/>
  <c r="D6"/>
  <c r="D7"/>
  <c r="D10"/>
  <c r="D13"/>
  <c r="D14"/>
  <c r="D15"/>
  <c r="D18"/>
  <c r="D19"/>
  <c r="D20"/>
  <c r="D23"/>
  <c r="D24"/>
  <c r="D27"/>
  <c r="D28"/>
  <c r="D31"/>
  <c r="D32"/>
  <c r="D33"/>
  <c r="D36"/>
  <c r="D37"/>
  <c r="D38"/>
  <c r="D39"/>
  <c r="D40"/>
  <c r="D43"/>
  <c r="D46"/>
  <c r="D49"/>
  <c r="D50"/>
  <c r="D53"/>
  <c r="D56"/>
  <c r="D59"/>
  <c r="D60"/>
  <c r="D63"/>
  <c r="D66"/>
  <c r="D69"/>
  <c r="D70"/>
  <c r="D73"/>
  <c r="D74"/>
  <c r="D75"/>
  <c r="D78"/>
  <c r="D79"/>
  <c r="D80"/>
  <c r="D84"/>
  <c r="D85"/>
  <c r="D86"/>
  <c r="D87"/>
  <c r="D88"/>
  <c r="D89"/>
  <c r="D90"/>
  <c r="D91"/>
  <c r="D92"/>
  <c r="D94"/>
  <c r="D95"/>
  <c r="D96"/>
  <c r="D97"/>
  <c r="D100"/>
  <c r="D101"/>
  <c r="D102"/>
  <c r="D105"/>
  <c r="D106"/>
  <c r="D107"/>
  <c r="D108"/>
  <c r="D112"/>
  <c r="D113"/>
  <c r="D114"/>
  <c r="D115"/>
  <c r="D116"/>
  <c r="D117"/>
  <c r="D118"/>
  <c r="D119"/>
  <c r="D120"/>
  <c r="D121"/>
  <c r="D122"/>
  <c r="D123"/>
  <c r="D124"/>
  <c r="D125"/>
  <c r="D126"/>
  <c r="D127"/>
  <c r="D133"/>
  <c r="D134"/>
  <c r="D135"/>
  <c r="D136"/>
  <c r="D137"/>
  <c r="D138"/>
  <c r="D139"/>
  <c r="D140"/>
  <c r="D141"/>
  <c r="D142"/>
  <c r="D143"/>
  <c r="D144"/>
  <c r="D150"/>
  <c r="D151"/>
  <c r="D152"/>
  <c r="D153"/>
  <c r="D154"/>
  <c r="D155"/>
  <c r="D156"/>
  <c r="D157"/>
  <c r="D158"/>
  <c r="D159"/>
  <c r="D160"/>
  <c r="D161"/>
  <c r="D162"/>
  <c r="D163"/>
  <c r="D169"/>
  <c r="D170"/>
  <c r="D171"/>
  <c r="D172"/>
  <c r="D173"/>
  <c r="D174"/>
  <c r="D175"/>
  <c r="D176"/>
  <c r="D180"/>
  <c r="D181"/>
  <c r="D184"/>
  <c r="D185"/>
  <c r="D188"/>
  <c r="D191"/>
  <c r="D195"/>
  <c r="D198"/>
  <c r="D201"/>
  <c r="D202"/>
  <c r="D203"/>
  <c r="D206"/>
  <c r="D209"/>
  <c r="D212"/>
  <c r="D215"/>
  <c r="D216"/>
  <c r="D217"/>
  <c r="D218"/>
  <c r="D219"/>
  <c r="D220"/>
  <c r="D224"/>
  <c r="D228"/>
  <c r="D229"/>
  <c r="D230"/>
  <c r="D231"/>
  <c r="D232"/>
  <c r="D233"/>
  <c r="D234"/>
  <c r="D235"/>
  <c r="D236"/>
  <c r="D237"/>
  <c r="D238"/>
  <c r="D240"/>
  <c r="D241"/>
  <c r="D242"/>
  <c r="D248"/>
  <c r="D249"/>
  <c r="D250"/>
  <c r="D251"/>
  <c r="D252"/>
  <c r="D253"/>
  <c r="D254"/>
  <c r="D255"/>
  <c r="D257"/>
  <c r="D258"/>
  <c r="D259"/>
  <c r="D260"/>
  <c r="D262"/>
  <c r="D263"/>
  <c r="D264"/>
  <c r="D265"/>
  <c r="D266"/>
  <c r="D267"/>
  <c r="D268"/>
  <c r="D269"/>
  <c r="D270"/>
  <c r="D271"/>
  <c r="D272"/>
  <c r="D273"/>
  <c r="D274"/>
  <c r="B275"/>
  <c r="D275"/>
  <c r="D279"/>
  <c r="D282"/>
  <c r="D285"/>
  <c r="D288"/>
  <c r="D2"/>
  <c r="B17" i="19"/>
  <c r="D5" i="16"/>
  <c r="D6"/>
  <c r="D7"/>
  <c r="D10"/>
  <c r="D13"/>
  <c r="D16"/>
  <c r="D17"/>
  <c r="D18"/>
  <c r="D21"/>
  <c r="D22"/>
  <c r="D25"/>
  <c r="D26"/>
  <c r="D29"/>
  <c r="D30"/>
  <c r="D31"/>
  <c r="D34"/>
  <c r="D35"/>
  <c r="D36"/>
  <c r="D37"/>
  <c r="D38"/>
  <c r="D41"/>
  <c r="D44"/>
  <c r="D45"/>
  <c r="D46"/>
  <c r="D47"/>
  <c r="D51"/>
  <c r="D52"/>
  <c r="D55"/>
  <c r="D58"/>
  <c r="D61"/>
  <c r="D62"/>
  <c r="D65"/>
  <c r="D68"/>
  <c r="D71"/>
  <c r="D72"/>
  <c r="D75"/>
  <c r="D76"/>
  <c r="D77"/>
  <c r="D80"/>
  <c r="D81"/>
  <c r="D82"/>
  <c r="D86"/>
  <c r="D87"/>
  <c r="D88"/>
  <c r="D89"/>
  <c r="D90"/>
  <c r="D91"/>
  <c r="D92"/>
  <c r="D93"/>
  <c r="D94"/>
  <c r="D96"/>
  <c r="D97"/>
  <c r="D98"/>
  <c r="D99"/>
  <c r="D102"/>
  <c r="D103"/>
  <c r="D104"/>
  <c r="D107"/>
  <c r="D111"/>
  <c r="D112"/>
  <c r="D113"/>
  <c r="D114"/>
  <c r="D115"/>
  <c r="D116"/>
  <c r="D117"/>
  <c r="D118"/>
  <c r="D119"/>
  <c r="D120"/>
  <c r="D121"/>
  <c r="D122"/>
  <c r="D123"/>
  <c r="D124"/>
  <c r="D125"/>
  <c r="D126"/>
  <c r="D132"/>
  <c r="D133"/>
  <c r="D134"/>
  <c r="D135"/>
  <c r="D136"/>
  <c r="D137"/>
  <c r="D138"/>
  <c r="D139"/>
  <c r="D140"/>
  <c r="D141"/>
  <c r="D142"/>
  <c r="D143"/>
  <c r="D149"/>
  <c r="D150"/>
  <c r="D151"/>
  <c r="D152"/>
  <c r="D153"/>
  <c r="D154"/>
  <c r="D155"/>
  <c r="D156"/>
  <c r="D157"/>
  <c r="D158"/>
  <c r="D159"/>
  <c r="D160"/>
  <c r="D161"/>
  <c r="D162"/>
  <c r="D168"/>
  <c r="D169"/>
  <c r="D170"/>
  <c r="D171"/>
  <c r="D172"/>
  <c r="D173"/>
  <c r="D174"/>
  <c r="D175"/>
  <c r="D179"/>
  <c r="D180"/>
  <c r="D183"/>
  <c r="D184"/>
  <c r="D187"/>
  <c r="D188"/>
  <c r="D189"/>
  <c r="D192"/>
  <c r="D196"/>
  <c r="D199"/>
  <c r="D200"/>
  <c r="D201"/>
  <c r="D204"/>
  <c r="D205"/>
  <c r="D206"/>
  <c r="D209"/>
  <c r="D212"/>
  <c r="D215"/>
  <c r="D218"/>
  <c r="D219"/>
  <c r="D220"/>
  <c r="D221"/>
  <c r="D222"/>
  <c r="D223"/>
  <c r="D227"/>
  <c r="D231"/>
  <c r="D232"/>
  <c r="D233"/>
  <c r="D234"/>
  <c r="D235"/>
  <c r="D236"/>
  <c r="D237"/>
  <c r="D238"/>
  <c r="D239"/>
  <c r="D240"/>
  <c r="D241"/>
  <c r="D243"/>
  <c r="D244"/>
  <c r="D245"/>
  <c r="D251"/>
  <c r="D252"/>
  <c r="D253"/>
  <c r="D254"/>
  <c r="D255"/>
  <c r="D256"/>
  <c r="D257"/>
  <c r="D258"/>
  <c r="D260"/>
  <c r="D261"/>
  <c r="D262"/>
  <c r="D263"/>
  <c r="D265"/>
  <c r="D266"/>
  <c r="D267"/>
  <c r="D268"/>
  <c r="D269"/>
  <c r="D270"/>
  <c r="D271"/>
  <c r="D272"/>
  <c r="D273"/>
  <c r="D274"/>
  <c r="D275"/>
  <c r="D276"/>
  <c r="D277"/>
  <c r="D278"/>
  <c r="D282"/>
  <c r="D285"/>
  <c r="D288"/>
  <c r="D291"/>
  <c r="D2"/>
  <c r="B18" i="19"/>
  <c r="D5" i="11"/>
  <c r="D6"/>
  <c r="D7"/>
  <c r="D10"/>
  <c r="D13"/>
  <c r="D16"/>
  <c r="D17"/>
  <c r="D18"/>
  <c r="D21"/>
  <c r="D22"/>
  <c r="D25"/>
  <c r="D26"/>
  <c r="D29"/>
  <c r="D30"/>
  <c r="D31"/>
  <c r="D34"/>
  <c r="D35"/>
  <c r="D36"/>
  <c r="D37"/>
  <c r="D38"/>
  <c r="D42"/>
  <c r="D45"/>
  <c r="D46"/>
  <c r="D47"/>
  <c r="D48"/>
  <c r="D52"/>
  <c r="D53"/>
  <c r="D56"/>
  <c r="D59"/>
  <c r="D62"/>
  <c r="D63"/>
  <c r="D66"/>
  <c r="D69"/>
  <c r="D72"/>
  <c r="D73"/>
  <c r="D76"/>
  <c r="D77"/>
  <c r="D78"/>
  <c r="D81"/>
  <c r="D82"/>
  <c r="D83"/>
  <c r="D87"/>
  <c r="D88"/>
  <c r="D89"/>
  <c r="D90"/>
  <c r="D91"/>
  <c r="D92"/>
  <c r="D93"/>
  <c r="D94"/>
  <c r="D95"/>
  <c r="D97"/>
  <c r="D98"/>
  <c r="D99"/>
  <c r="D100"/>
  <c r="D103"/>
  <c r="D104"/>
  <c r="D105"/>
  <c r="D109"/>
  <c r="D113"/>
  <c r="D114"/>
  <c r="D115"/>
  <c r="D116"/>
  <c r="D117"/>
  <c r="D118"/>
  <c r="D119"/>
  <c r="D120"/>
  <c r="D121"/>
  <c r="D122"/>
  <c r="D123"/>
  <c r="D124"/>
  <c r="D125"/>
  <c r="D126"/>
  <c r="D127"/>
  <c r="D128"/>
  <c r="D134"/>
  <c r="D135"/>
  <c r="D136"/>
  <c r="D137"/>
  <c r="D138"/>
  <c r="D139"/>
  <c r="D140"/>
  <c r="D141"/>
  <c r="D142"/>
  <c r="D143"/>
  <c r="D144"/>
  <c r="D145"/>
  <c r="D146"/>
  <c r="D151"/>
  <c r="D152"/>
  <c r="D153"/>
  <c r="D154"/>
  <c r="D155"/>
  <c r="D156"/>
  <c r="D157"/>
  <c r="D158"/>
  <c r="D159"/>
  <c r="D160"/>
  <c r="D161"/>
  <c r="D162"/>
  <c r="D163"/>
  <c r="D164"/>
  <c r="D170"/>
  <c r="D171"/>
  <c r="D172"/>
  <c r="D173"/>
  <c r="D174"/>
  <c r="D175"/>
  <c r="D176"/>
  <c r="D177"/>
  <c r="D182"/>
  <c r="D183"/>
  <c r="D186"/>
  <c r="D187"/>
  <c r="D190"/>
  <c r="D191"/>
  <c r="D192"/>
  <c r="D195"/>
  <c r="D198"/>
  <c r="D202"/>
  <c r="D203"/>
  <c r="D204"/>
  <c r="D207"/>
  <c r="D210"/>
  <c r="D213"/>
  <c r="D216"/>
  <c r="D219"/>
  <c r="D220"/>
  <c r="D221"/>
  <c r="D222"/>
  <c r="D223"/>
  <c r="D224"/>
  <c r="D228"/>
  <c r="D232"/>
  <c r="D233"/>
  <c r="D234"/>
  <c r="D235"/>
  <c r="D236"/>
  <c r="D237"/>
  <c r="D238"/>
  <c r="D239"/>
  <c r="D240"/>
  <c r="D241"/>
  <c r="D242"/>
  <c r="D244"/>
  <c r="D245"/>
  <c r="D246"/>
  <c r="D252"/>
  <c r="D253"/>
  <c r="D254"/>
  <c r="D255"/>
  <c r="D256"/>
  <c r="D257"/>
  <c r="D258"/>
  <c r="D259"/>
  <c r="D261"/>
  <c r="D262"/>
  <c r="D263"/>
  <c r="D264"/>
  <c r="D266"/>
  <c r="D267"/>
  <c r="D268"/>
  <c r="D269"/>
  <c r="D270"/>
  <c r="D271"/>
  <c r="D272"/>
  <c r="D273"/>
  <c r="D274"/>
  <c r="D275"/>
  <c r="D276"/>
  <c r="D277"/>
  <c r="D278"/>
  <c r="D279"/>
  <c r="D283"/>
  <c r="D286"/>
  <c r="D289"/>
  <c r="D292"/>
  <c r="D2"/>
  <c r="B19" i="19"/>
  <c r="D5" i="17"/>
  <c r="D6"/>
  <c r="D7"/>
  <c r="D10"/>
  <c r="D13"/>
  <c r="D14"/>
  <c r="D15"/>
  <c r="D18"/>
  <c r="D21"/>
  <c r="D24"/>
  <c r="D25"/>
  <c r="D26"/>
  <c r="D29"/>
  <c r="D32"/>
  <c r="D33"/>
  <c r="D34"/>
  <c r="D35"/>
  <c r="D36"/>
  <c r="D40"/>
  <c r="D43"/>
  <c r="D46"/>
  <c r="D47"/>
  <c r="D50"/>
  <c r="D53"/>
  <c r="D56"/>
  <c r="D57"/>
  <c r="D60"/>
  <c r="D63"/>
  <c r="D66"/>
  <c r="D67"/>
  <c r="D70"/>
  <c r="D71"/>
  <c r="D72"/>
  <c r="D75"/>
  <c r="D76"/>
  <c r="D77"/>
  <c r="D81"/>
  <c r="D82"/>
  <c r="D83"/>
  <c r="D84"/>
  <c r="D85"/>
  <c r="D86"/>
  <c r="D87"/>
  <c r="D88"/>
  <c r="D89"/>
  <c r="D91"/>
  <c r="D92"/>
  <c r="D93"/>
  <c r="D94"/>
  <c r="D97"/>
  <c r="D98"/>
  <c r="D99"/>
  <c r="D102"/>
  <c r="D103"/>
  <c r="D104"/>
  <c r="D105"/>
  <c r="D109"/>
  <c r="D110"/>
  <c r="D111"/>
  <c r="D112"/>
  <c r="D113"/>
  <c r="D114"/>
  <c r="D115"/>
  <c r="D116"/>
  <c r="D117"/>
  <c r="D118"/>
  <c r="D119"/>
  <c r="D120"/>
  <c r="D121"/>
  <c r="D122"/>
  <c r="D123"/>
  <c r="D124"/>
  <c r="D130"/>
  <c r="D131"/>
  <c r="D132"/>
  <c r="D133"/>
  <c r="D134"/>
  <c r="D135"/>
  <c r="D136"/>
  <c r="D137"/>
  <c r="D138"/>
  <c r="D139"/>
  <c r="D140"/>
  <c r="D141"/>
  <c r="D147"/>
  <c r="D148"/>
  <c r="D149"/>
  <c r="D150"/>
  <c r="D151"/>
  <c r="D152"/>
  <c r="D153"/>
  <c r="D154"/>
  <c r="D155"/>
  <c r="D156"/>
  <c r="D157"/>
  <c r="D158"/>
  <c r="D159"/>
  <c r="D160"/>
  <c r="D166"/>
  <c r="D167"/>
  <c r="D168"/>
  <c r="D169"/>
  <c r="D170"/>
  <c r="D171"/>
  <c r="D172"/>
  <c r="D173"/>
  <c r="D178"/>
  <c r="D179"/>
  <c r="D180"/>
  <c r="D181"/>
  <c r="D182"/>
  <c r="D183"/>
  <c r="D186"/>
  <c r="D189"/>
  <c r="D190"/>
  <c r="D191"/>
  <c r="D194"/>
  <c r="D195"/>
  <c r="D196"/>
  <c r="D199"/>
  <c r="D202"/>
  <c r="D203"/>
  <c r="D204"/>
  <c r="D207"/>
  <c r="D208"/>
  <c r="D209"/>
  <c r="D212"/>
  <c r="D215"/>
  <c r="D218"/>
  <c r="D219"/>
  <c r="D220"/>
  <c r="D224"/>
  <c r="D228"/>
  <c r="D229"/>
  <c r="D230"/>
  <c r="D231"/>
  <c r="D232"/>
  <c r="D233"/>
  <c r="D234"/>
  <c r="D237"/>
  <c r="D240"/>
  <c r="D243"/>
  <c r="D246"/>
  <c r="D2"/>
  <c r="B20" i="19"/>
  <c r="B22"/>
  <c r="K11" i="18"/>
  <c r="K10"/>
  <c r="K9"/>
  <c r="K8"/>
  <c r="K7"/>
  <c r="K6"/>
  <c r="K5"/>
  <c r="K4"/>
  <c r="K3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G40"/>
  <c r="G39"/>
  <c r="G38"/>
  <c r="G36"/>
  <c r="G35"/>
  <c r="G34"/>
  <c r="G33"/>
  <c r="G32"/>
  <c r="G31"/>
  <c r="G30"/>
  <c r="G29"/>
  <c r="G28"/>
  <c r="G27"/>
  <c r="G26"/>
  <c r="G25"/>
  <c r="G24"/>
  <c r="G23"/>
  <c r="G22"/>
  <c r="G21"/>
  <c r="G19"/>
  <c r="G18"/>
  <c r="G17"/>
  <c r="G16"/>
  <c r="G15"/>
  <c r="G14"/>
  <c r="G13"/>
  <c r="G12"/>
  <c r="G10"/>
  <c r="G9"/>
  <c r="G8"/>
  <c r="G7"/>
  <c r="G6"/>
  <c r="G5"/>
  <c r="G3"/>
  <c r="E205" i="24"/>
  <c r="D3"/>
  <c r="E283" i="22"/>
  <c r="C3"/>
  <c r="E182" i="24"/>
  <c r="D2"/>
  <c r="E274" i="22"/>
  <c r="C2"/>
  <c r="E78" i="24"/>
  <c r="D1"/>
  <c r="E126" i="22"/>
  <c r="C1"/>
  <c r="I8" i="1"/>
  <c r="I52"/>
  <c r="I62"/>
  <c r="I191"/>
  <c r="I224"/>
  <c r="I227"/>
  <c r="I2"/>
  <c r="I55" i="3"/>
  <c r="I69"/>
  <c r="I266"/>
  <c r="I309"/>
  <c r="I2"/>
  <c r="I9" i="4"/>
  <c r="I15"/>
  <c r="I26"/>
  <c r="I103"/>
  <c r="I189"/>
  <c r="I202"/>
  <c r="I223"/>
  <c r="I226"/>
  <c r="I2"/>
  <c r="I60" i="5"/>
  <c r="I103"/>
  <c r="I184"/>
  <c r="I187"/>
  <c r="I192"/>
  <c r="I196"/>
  <c r="I199"/>
  <c r="I204"/>
  <c r="I225"/>
  <c r="I277"/>
  <c r="I2"/>
  <c r="I9" i="6"/>
  <c r="I29"/>
  <c r="I52"/>
  <c r="I63"/>
  <c r="I84"/>
  <c r="I260"/>
  <c r="I279"/>
  <c r="I308"/>
  <c r="I2"/>
  <c r="I28" i="8"/>
  <c r="I51"/>
  <c r="I61"/>
  <c r="I103"/>
  <c r="I185"/>
  <c r="I188"/>
  <c r="I193"/>
  <c r="I197"/>
  <c r="I200"/>
  <c r="I205"/>
  <c r="I277"/>
  <c r="I2"/>
  <c r="I9" i="9"/>
  <c r="I26"/>
  <c r="I49"/>
  <c r="I59"/>
  <c r="I87"/>
  <c r="I176"/>
  <c r="I182"/>
  <c r="I187"/>
  <c r="I258"/>
  <c r="I2"/>
  <c r="I9" i="10"/>
  <c r="I27"/>
  <c r="I40"/>
  <c r="I50"/>
  <c r="I60"/>
  <c r="I102"/>
  <c r="I192"/>
  <c r="I199"/>
  <c r="I204"/>
  <c r="I277"/>
  <c r="I2"/>
  <c r="I26" i="7"/>
  <c r="I50"/>
  <c r="I203"/>
  <c r="I246"/>
  <c r="I2"/>
  <c r="I9" i="13"/>
  <c r="I28"/>
  <c r="I53"/>
  <c r="I63"/>
  <c r="I105"/>
  <c r="I189"/>
  <c r="I193"/>
  <c r="I206"/>
  <c r="I219"/>
  <c r="I2"/>
  <c r="I9" i="12"/>
  <c r="I28"/>
  <c r="I53"/>
  <c r="I63"/>
  <c r="I105"/>
  <c r="I185"/>
  <c r="I190"/>
  <c r="I193"/>
  <c r="I208"/>
  <c r="I221"/>
  <c r="I224"/>
  <c r="I2"/>
  <c r="I10" i="14"/>
  <c r="I32"/>
  <c r="I45"/>
  <c r="I55"/>
  <c r="I65"/>
  <c r="I2"/>
  <c r="I9" i="15"/>
  <c r="I30"/>
  <c r="I52"/>
  <c r="I62"/>
  <c r="I104"/>
  <c r="I194"/>
  <c r="I200"/>
  <c r="I205"/>
  <c r="I226"/>
  <c r="I278"/>
  <c r="I281"/>
  <c r="I2"/>
  <c r="I9" i="16"/>
  <c r="I28"/>
  <c r="I43"/>
  <c r="I54"/>
  <c r="I106"/>
  <c r="I186"/>
  <c r="I194"/>
  <c r="I208"/>
  <c r="I230"/>
  <c r="I281"/>
  <c r="I2"/>
  <c r="I9" i="11"/>
  <c r="I55"/>
  <c r="I65"/>
  <c r="I71"/>
  <c r="I108"/>
  <c r="I197"/>
  <c r="I209"/>
  <c r="I230"/>
  <c r="I282"/>
  <c r="I2"/>
  <c r="I9" i="17"/>
  <c r="I28"/>
  <c r="I49"/>
  <c r="I59"/>
  <c r="I188"/>
  <c r="I193"/>
  <c r="I198"/>
  <c r="I206"/>
  <c r="I211"/>
  <c r="I236"/>
  <c r="I2"/>
  <c r="H3" i="1"/>
  <c r="H11"/>
  <c r="H14"/>
  <c r="H19"/>
  <c r="H23"/>
  <c r="H27"/>
  <c r="H32"/>
  <c r="H39"/>
  <c r="H42"/>
  <c r="H48"/>
  <c r="H58"/>
  <c r="H65"/>
  <c r="H68"/>
  <c r="H72"/>
  <c r="H77"/>
  <c r="H82"/>
  <c r="H99"/>
  <c r="H107"/>
  <c r="H164"/>
  <c r="H179"/>
  <c r="H183"/>
  <c r="H188"/>
  <c r="H194"/>
  <c r="H199"/>
  <c r="H204"/>
  <c r="H207"/>
  <c r="H210"/>
  <c r="H213"/>
  <c r="H230"/>
  <c r="H233"/>
  <c r="H236"/>
  <c r="H2"/>
  <c r="H4" i="2"/>
  <c r="H12"/>
  <c r="H15"/>
  <c r="H20"/>
  <c r="H28"/>
  <c r="H33"/>
  <c r="H40"/>
  <c r="H43"/>
  <c r="H46"/>
  <c r="H56"/>
  <c r="H63"/>
  <c r="H71"/>
  <c r="H76"/>
  <c r="H81"/>
  <c r="H98"/>
  <c r="H103"/>
  <c r="H106"/>
  <c r="H164"/>
  <c r="H179"/>
  <c r="H191"/>
  <c r="H194"/>
  <c r="H202"/>
  <c r="H205"/>
  <c r="H207"/>
  <c r="H266"/>
  <c r="H269"/>
  <c r="H272"/>
  <c r="H2"/>
  <c r="H4" i="3"/>
  <c r="H9"/>
  <c r="H12"/>
  <c r="H15"/>
  <c r="H18"/>
  <c r="H24"/>
  <c r="H29"/>
  <c r="H35"/>
  <c r="H42"/>
  <c r="H45"/>
  <c r="H51"/>
  <c r="H61"/>
  <c r="H65"/>
  <c r="H72"/>
  <c r="H75"/>
  <c r="H80"/>
  <c r="H86"/>
  <c r="H101"/>
  <c r="H106"/>
  <c r="H112"/>
  <c r="H217"/>
  <c r="H232"/>
  <c r="H244"/>
  <c r="H256"/>
  <c r="H261"/>
  <c r="H271"/>
  <c r="H276"/>
  <c r="H281"/>
  <c r="H287"/>
  <c r="H290"/>
  <c r="H299"/>
  <c r="H312"/>
  <c r="H325"/>
  <c r="H329"/>
  <c r="H2"/>
  <c r="H4" i="4"/>
  <c r="H12"/>
  <c r="H18"/>
  <c r="H22"/>
  <c r="H31"/>
  <c r="H38"/>
  <c r="H41"/>
  <c r="H47"/>
  <c r="H51"/>
  <c r="H57"/>
  <c r="H61"/>
  <c r="H64"/>
  <c r="H67"/>
  <c r="H71"/>
  <c r="H76"/>
  <c r="H81"/>
  <c r="H98"/>
  <c r="H106"/>
  <c r="H164"/>
  <c r="H179"/>
  <c r="H183"/>
  <c r="H186"/>
  <c r="H192"/>
  <c r="H197"/>
  <c r="H205"/>
  <c r="H208"/>
  <c r="H211"/>
  <c r="H229"/>
  <c r="H232"/>
  <c r="H235"/>
  <c r="H2"/>
  <c r="H9" i="5"/>
  <c r="H12"/>
  <c r="H17"/>
  <c r="H20"/>
  <c r="H23"/>
  <c r="H27"/>
  <c r="H30"/>
  <c r="H37"/>
  <c r="H40"/>
  <c r="H46"/>
  <c r="H50"/>
  <c r="H56"/>
  <c r="H63"/>
  <c r="H66"/>
  <c r="H70"/>
  <c r="H75"/>
  <c r="H80"/>
  <c r="H98"/>
  <c r="H109"/>
  <c r="H166"/>
  <c r="H181"/>
  <c r="H207"/>
  <c r="H210"/>
  <c r="H213"/>
  <c r="H225"/>
  <c r="H280"/>
  <c r="H283"/>
  <c r="H286"/>
  <c r="H2"/>
  <c r="H4" i="6"/>
  <c r="H12"/>
  <c r="H15"/>
  <c r="H18"/>
  <c r="H24"/>
  <c r="H32"/>
  <c r="H39"/>
  <c r="H42"/>
  <c r="H48"/>
  <c r="H59"/>
  <c r="H67"/>
  <c r="H70"/>
  <c r="H73"/>
  <c r="H78"/>
  <c r="H102"/>
  <c r="H107"/>
  <c r="H114"/>
  <c r="H244"/>
  <c r="H257"/>
  <c r="H265"/>
  <c r="H271"/>
  <c r="H274"/>
  <c r="H285"/>
  <c r="H288"/>
  <c r="H298"/>
  <c r="H311"/>
  <c r="H323"/>
  <c r="H2"/>
  <c r="H4" i="8"/>
  <c r="H9"/>
  <c r="H12"/>
  <c r="H17"/>
  <c r="H20"/>
  <c r="H24"/>
  <c r="H31"/>
  <c r="H38"/>
  <c r="H41"/>
  <c r="H47"/>
  <c r="H57"/>
  <c r="H64"/>
  <c r="H67"/>
  <c r="H71"/>
  <c r="H76"/>
  <c r="H81"/>
  <c r="H98"/>
  <c r="H109"/>
  <c r="H167"/>
  <c r="H182"/>
  <c r="H208"/>
  <c r="H211"/>
  <c r="H214"/>
  <c r="H226"/>
  <c r="H280"/>
  <c r="H283"/>
  <c r="H2"/>
  <c r="H4" i="9"/>
  <c r="H12"/>
  <c r="H17"/>
  <c r="H20"/>
  <c r="H23"/>
  <c r="H29"/>
  <c r="H36"/>
  <c r="H39"/>
  <c r="H45"/>
  <c r="H55"/>
  <c r="H62"/>
  <c r="H65"/>
  <c r="H69"/>
  <c r="H74"/>
  <c r="H79"/>
  <c r="H82"/>
  <c r="H93"/>
  <c r="H151"/>
  <c r="H166"/>
  <c r="H169"/>
  <c r="H172"/>
  <c r="H179"/>
  <c r="H190"/>
  <c r="H193"/>
  <c r="H196"/>
  <c r="H207"/>
  <c r="H261"/>
  <c r="H264"/>
  <c r="H267"/>
  <c r="H2"/>
  <c r="H4" i="10"/>
  <c r="H12"/>
  <c r="H17"/>
  <c r="H20"/>
  <c r="H24"/>
  <c r="H30"/>
  <c r="H37"/>
  <c r="H46"/>
  <c r="H56"/>
  <c r="H63"/>
  <c r="H66"/>
  <c r="H69"/>
  <c r="H74"/>
  <c r="H79"/>
  <c r="H97"/>
  <c r="H108"/>
  <c r="H166"/>
  <c r="H181"/>
  <c r="H184"/>
  <c r="H187"/>
  <c r="H196"/>
  <c r="H207"/>
  <c r="H210"/>
  <c r="H213"/>
  <c r="H225"/>
  <c r="H280"/>
  <c r="H283"/>
  <c r="H2"/>
  <c r="H4" i="7"/>
  <c r="H9"/>
  <c r="H12"/>
  <c r="H15"/>
  <c r="H18"/>
  <c r="H21"/>
  <c r="H33"/>
  <c r="H40"/>
  <c r="H43"/>
  <c r="H46"/>
  <c r="H56"/>
  <c r="H60"/>
  <c r="H64"/>
  <c r="H67"/>
  <c r="H70"/>
  <c r="H75"/>
  <c r="H81"/>
  <c r="H96"/>
  <c r="H101"/>
  <c r="H108"/>
  <c r="H195"/>
  <c r="H198"/>
  <c r="H208"/>
  <c r="H213"/>
  <c r="H218"/>
  <c r="H224"/>
  <c r="H227"/>
  <c r="H237"/>
  <c r="H249"/>
  <c r="H261"/>
  <c r="H2"/>
  <c r="H4" i="13"/>
  <c r="H12"/>
  <c r="H15"/>
  <c r="H20"/>
  <c r="H24"/>
  <c r="H33"/>
  <c r="H40"/>
  <c r="H43"/>
  <c r="H49"/>
  <c r="H59"/>
  <c r="H66"/>
  <c r="H69"/>
  <c r="H73"/>
  <c r="H78"/>
  <c r="H83"/>
  <c r="H100"/>
  <c r="H108"/>
  <c r="H166"/>
  <c r="H181"/>
  <c r="H184"/>
  <c r="H196"/>
  <c r="H201"/>
  <c r="H209"/>
  <c r="H212"/>
  <c r="H213"/>
  <c r="H222"/>
  <c r="H225"/>
  <c r="H228"/>
  <c r="H2"/>
  <c r="H12" i="12"/>
  <c r="H15"/>
  <c r="H20"/>
  <c r="H24"/>
  <c r="H33"/>
  <c r="H40"/>
  <c r="H43"/>
  <c r="H49"/>
  <c r="H59"/>
  <c r="H66"/>
  <c r="H69"/>
  <c r="H73"/>
  <c r="H78"/>
  <c r="H83"/>
  <c r="H100"/>
  <c r="H108"/>
  <c r="H165"/>
  <c r="H182"/>
  <c r="H197"/>
  <c r="H202"/>
  <c r="H211"/>
  <c r="H214"/>
  <c r="H216"/>
  <c r="H227"/>
  <c r="H230"/>
  <c r="H2"/>
  <c r="H4" i="14"/>
  <c r="H13"/>
  <c r="H16"/>
  <c r="H21"/>
  <c r="H27"/>
  <c r="H35"/>
  <c r="H42"/>
  <c r="H51"/>
  <c r="H61"/>
  <c r="H68"/>
  <c r="H71"/>
  <c r="H75"/>
  <c r="H80"/>
  <c r="H86"/>
  <c r="H102"/>
  <c r="H107"/>
  <c r="H115"/>
  <c r="H232"/>
  <c r="H2"/>
  <c r="H4" i="15"/>
  <c r="H12"/>
  <c r="H17"/>
  <c r="H22"/>
  <c r="H26"/>
  <c r="H35"/>
  <c r="H42"/>
  <c r="H45"/>
  <c r="H48"/>
  <c r="H58"/>
  <c r="H65"/>
  <c r="H68"/>
  <c r="H72"/>
  <c r="H77"/>
  <c r="H82"/>
  <c r="H99"/>
  <c r="H110"/>
  <c r="H168"/>
  <c r="H183"/>
  <c r="H187"/>
  <c r="H190"/>
  <c r="H197"/>
  <c r="H208"/>
  <c r="H211"/>
  <c r="H214"/>
  <c r="H284"/>
  <c r="H2"/>
  <c r="H4" i="16"/>
  <c r="H12"/>
  <c r="H15"/>
  <c r="H20"/>
  <c r="H24"/>
  <c r="H33"/>
  <c r="H40"/>
  <c r="H50"/>
  <c r="H60"/>
  <c r="H64"/>
  <c r="H67"/>
  <c r="H70"/>
  <c r="H74"/>
  <c r="H79"/>
  <c r="H84"/>
  <c r="H101"/>
  <c r="H109"/>
  <c r="H167"/>
  <c r="H182"/>
  <c r="H191"/>
  <c r="H198"/>
  <c r="H203"/>
  <c r="H211"/>
  <c r="H214"/>
  <c r="H217"/>
  <c r="H284"/>
  <c r="H287"/>
  <c r="H2"/>
  <c r="H4" i="11"/>
  <c r="H12"/>
  <c r="H15"/>
  <c r="H20"/>
  <c r="H24"/>
  <c r="H28"/>
  <c r="H33"/>
  <c r="H41"/>
  <c r="H44"/>
  <c r="H51"/>
  <c r="H61"/>
  <c r="H68"/>
  <c r="H75"/>
  <c r="H80"/>
  <c r="H85"/>
  <c r="H102"/>
  <c r="H111"/>
  <c r="H169"/>
  <c r="H185"/>
  <c r="H189"/>
  <c r="H194"/>
  <c r="H201"/>
  <c r="H206"/>
  <c r="H212"/>
  <c r="H215"/>
  <c r="H218"/>
  <c r="H285"/>
  <c r="H288"/>
  <c r="H2"/>
  <c r="H4" i="17"/>
  <c r="H12"/>
  <c r="H17"/>
  <c r="H20"/>
  <c r="H23"/>
  <c r="H31"/>
  <c r="H39"/>
  <c r="H42"/>
  <c r="H45"/>
  <c r="H55"/>
  <c r="H62"/>
  <c r="H65"/>
  <c r="H69"/>
  <c r="H74"/>
  <c r="H79"/>
  <c r="H96"/>
  <c r="H101"/>
  <c r="H108"/>
  <c r="H165"/>
  <c r="H185"/>
  <c r="H201"/>
  <c r="H214"/>
  <c r="H217"/>
  <c r="H220"/>
  <c r="H226"/>
  <c r="H239"/>
  <c r="H242"/>
  <c r="H2"/>
  <c r="E444" i="25"/>
  <c r="C1"/>
  <c r="E463" i="21"/>
  <c r="C1"/>
  <c r="E962" i="25"/>
  <c r="C2"/>
  <c r="E909" i="21"/>
  <c r="C2"/>
  <c r="E988" i="25"/>
  <c r="C3"/>
  <c r="E951" i="21"/>
  <c r="C3"/>
  <c r="K41" i="18"/>
  <c r="G41"/>
  <c r="G240" i="1"/>
  <c r="G241"/>
  <c r="L4" i="19"/>
  <c r="G276" i="2"/>
  <c r="G277"/>
  <c r="L5" i="19"/>
  <c r="F333" i="3"/>
  <c r="L6" i="19"/>
  <c r="G239" i="4"/>
  <c r="G240"/>
  <c r="L7" i="19"/>
  <c r="G291" i="5"/>
  <c r="L8" i="19"/>
  <c r="G331" i="6"/>
  <c r="L9" i="19"/>
  <c r="G292" i="8"/>
  <c r="L10" i="19"/>
  <c r="G291" i="10"/>
  <c r="L11" i="19"/>
  <c r="G272" i="9"/>
  <c r="L12" i="19"/>
  <c r="G270" i="7"/>
  <c r="L13" i="19"/>
  <c r="G237" i="13"/>
  <c r="L14" i="19"/>
  <c r="G239" i="12"/>
  <c r="L15" i="19"/>
  <c r="G317" i="14"/>
  <c r="L16" i="19"/>
  <c r="G293" i="15"/>
  <c r="L17" i="19"/>
  <c r="G296" i="16"/>
  <c r="L18" i="19"/>
  <c r="G296" i="11"/>
  <c r="L19" i="19"/>
  <c r="G250" i="17"/>
  <c r="L20" i="19"/>
  <c r="L21"/>
  <c r="G249" i="17"/>
  <c r="J20" i="19"/>
  <c r="M20"/>
  <c r="L22"/>
  <c r="J4"/>
  <c r="J5"/>
  <c r="F332" i="3"/>
  <c r="J6" i="19"/>
  <c r="J7"/>
  <c r="G290" i="5"/>
  <c r="J8" i="19"/>
  <c r="G330" i="6"/>
  <c r="J9" i="19"/>
  <c r="G291" i="8"/>
  <c r="J10" i="19"/>
  <c r="G290" i="10"/>
  <c r="J11" i="19"/>
  <c r="G269" i="7"/>
  <c r="J13" i="19"/>
  <c r="G236" i="13"/>
  <c r="J14" i="19"/>
  <c r="G238" i="12"/>
  <c r="J15" i="19"/>
  <c r="G316" i="14"/>
  <c r="J16" i="19"/>
  <c r="G292" i="15"/>
  <c r="J17" i="19"/>
  <c r="G295" i="16"/>
  <c r="J18" i="19"/>
  <c r="G295" i="11"/>
  <c r="J19" i="19"/>
  <c r="J21"/>
  <c r="J22"/>
  <c r="M5"/>
  <c r="M6"/>
  <c r="M7"/>
  <c r="M8"/>
  <c r="M9"/>
  <c r="M10"/>
  <c r="M11"/>
  <c r="M12"/>
  <c r="M13"/>
  <c r="M14"/>
  <c r="M15"/>
  <c r="M16"/>
  <c r="M17"/>
  <c r="M18"/>
  <c r="M19"/>
  <c r="M4"/>
  <c r="G251" i="17"/>
  <c r="G297" i="11"/>
  <c r="G297" i="16"/>
  <c r="G294" i="15"/>
  <c r="F310" i="14"/>
  <c r="F313"/>
  <c r="H309"/>
  <c r="F298"/>
  <c r="F301"/>
  <c r="F304"/>
  <c r="F307"/>
  <c r="H297"/>
  <c r="F295"/>
  <c r="I294"/>
  <c r="F285"/>
  <c r="F286"/>
  <c r="F287"/>
  <c r="F288"/>
  <c r="F289"/>
  <c r="F290"/>
  <c r="F291"/>
  <c r="I283"/>
  <c r="F278"/>
  <c r="H278"/>
  <c r="F277"/>
  <c r="H277"/>
  <c r="F274"/>
  <c r="H273"/>
  <c r="F271"/>
  <c r="I270"/>
  <c r="F264"/>
  <c r="F265"/>
  <c r="F266"/>
  <c r="I263"/>
  <c r="F259"/>
  <c r="F260"/>
  <c r="F261"/>
  <c r="H258"/>
  <c r="F256"/>
  <c r="H255"/>
  <c r="F250"/>
  <c r="F251"/>
  <c r="F252"/>
  <c r="H249"/>
  <c r="F245"/>
  <c r="F246"/>
  <c r="F247"/>
  <c r="I244"/>
  <c r="F241"/>
  <c r="H240"/>
  <c r="G318"/>
  <c r="H4" i="12"/>
  <c r="G240"/>
  <c r="G238" i="13"/>
  <c r="G271" i="7"/>
  <c r="G292" i="10"/>
  <c r="G273" i="9"/>
  <c r="G293" i="8"/>
  <c r="G332" i="6"/>
  <c r="H4" i="5"/>
  <c r="G292"/>
  <c r="G241" i="4"/>
  <c r="F334" i="3"/>
  <c r="I9" i="2"/>
  <c r="I50"/>
  <c r="I60"/>
  <c r="I67"/>
  <c r="I182"/>
  <c r="I185"/>
  <c r="I188"/>
  <c r="I199"/>
  <c r="I213"/>
  <c r="I263"/>
  <c r="I2"/>
  <c r="G278"/>
  <c r="G242" i="1"/>
  <c r="D313" i="14"/>
  <c r="D310"/>
  <c r="D307"/>
  <c r="D304"/>
  <c r="D301"/>
  <c r="D298"/>
  <c r="D295"/>
  <c r="D291"/>
  <c r="D290"/>
  <c r="D289"/>
  <c r="D288"/>
  <c r="D287"/>
  <c r="D286"/>
  <c r="D285"/>
  <c r="D281"/>
  <c r="D278"/>
  <c r="D277"/>
  <c r="D274"/>
  <c r="D271"/>
  <c r="D266"/>
  <c r="D265"/>
  <c r="D264"/>
  <c r="D261"/>
  <c r="D260"/>
  <c r="D259"/>
  <c r="D256"/>
  <c r="D252"/>
  <c r="D251"/>
  <c r="D250"/>
  <c r="D247"/>
  <c r="D246"/>
  <c r="D245"/>
  <c r="D241"/>
  <c r="D238"/>
  <c r="D237"/>
</calcChain>
</file>

<file path=xl/sharedStrings.xml><?xml version="1.0" encoding="utf-8"?>
<sst xmlns="http://schemas.openxmlformats.org/spreadsheetml/2006/main" count="15234" uniqueCount="5379">
  <si>
    <t>Prevailing Classifications Union Collective Bargining Percentage of Benefits</t>
  </si>
  <si>
    <t>CANYON GID RECHIM WATER SYS IMPROVEMENT LOCKWOOD</t>
  </si>
  <si>
    <t>WA-2010-80</t>
  </si>
  <si>
    <t>TMWRF EFFLUENT PUMP STATION MODS PHASE 3</t>
  </si>
  <si>
    <t>WA-2010-80A</t>
  </si>
  <si>
    <t>G &amp; G SPECIALTY CONTRACTORS</t>
  </si>
  <si>
    <t>SOUND INSULATION PROGRAM PHASE 19.1</t>
  </si>
  <si>
    <t>CH-2010-81</t>
  </si>
  <si>
    <t>CHURCHILL  BRD OF COMMISSIONERS</t>
  </si>
  <si>
    <t>K7 CONSTRUCTION</t>
  </si>
  <si>
    <t>CHURCHILL CO JUVENILE DETENTION FACILITY</t>
  </si>
  <si>
    <t>WA-2010-81</t>
  </si>
  <si>
    <t>SOUND INSULATION PROGRAM PHASE 17.8</t>
  </si>
  <si>
    <t>WA-2010-82</t>
  </si>
  <si>
    <t>FEDERALLY FUNDED STIULUS ZEPHYR WY CURB GUTTER SIDWLK</t>
  </si>
  <si>
    <t>LY-2010-83</t>
  </si>
  <si>
    <t>WATER &amp; SEWER EXPLORATORY  DRILLIJNG</t>
  </si>
  <si>
    <t>ST-2010-84</t>
  </si>
  <si>
    <t>RECHIM WATER SYS IMPROVEMENT LOCKWOOD</t>
  </si>
  <si>
    <t>EL-2010-85</t>
  </si>
  <si>
    <t>WATER RECLAMATION FACILITY EXPANSION &amp; UPGRADE PHS 1</t>
  </si>
  <si>
    <t>WP-2010-86</t>
  </si>
  <si>
    <t>HYDRO TECH INC</t>
  </si>
  <si>
    <t>SEWER CLEAN &amp; TV</t>
  </si>
  <si>
    <t>LY-2010-87</t>
  </si>
  <si>
    <t>WINNIE LN CAPE SEAL IMPROVEMENT</t>
  </si>
  <si>
    <t>EU-2010-88</t>
  </si>
  <si>
    <t>EUREKA CO COMMISSIONERS</t>
  </si>
  <si>
    <t>ARRA STREET MAINTENANCE</t>
  </si>
  <si>
    <t>341207-00.</t>
  </si>
  <si>
    <t>WA-2010-89</t>
  </si>
  <si>
    <t>LEPORI CONSTRUCTION</t>
  </si>
  <si>
    <t>WA CO   ARRA FUNDED PHOTVOLTAIC/E 9TH &amp; NW LIBRARY</t>
  </si>
  <si>
    <t>EL-2010-90</t>
  </si>
  <si>
    <t>ELKO COUNTY/JACKPOT</t>
  </si>
  <si>
    <t>JACKPOT WATER SYSTEM IMPROVEMENTS</t>
  </si>
  <si>
    <t>EL-2010-91</t>
  </si>
  <si>
    <t>RECORD STEEL &amp; CONSTRUCTION</t>
  </si>
  <si>
    <t>WASTEWATER TREATMENT FACILITY MODIFICATIONS</t>
  </si>
  <si>
    <t>EL-2010-92</t>
  </si>
  <si>
    <t>BUILDING SOLLUTIONS</t>
  </si>
  <si>
    <t>GREAT BASIN COLLEGE CENTRAL RECEIVING REMODEL</t>
  </si>
  <si>
    <t>01/07/10.</t>
  </si>
  <si>
    <t>CH-2010-93</t>
  </si>
  <si>
    <t>GARDEN SHOP NURSERY LANDSCAPE</t>
  </si>
  <si>
    <t>OATS PARK PLAYGROUND EQUIPMENT</t>
  </si>
  <si>
    <t>MI-2010-94</t>
  </si>
  <si>
    <t>KFC BUILDING CONCEPTS INC</t>
  </si>
  <si>
    <t>BABBIT WELL HOUSE-INSTALL NEW HOUSE &amp; PLUMBING</t>
  </si>
  <si>
    <t>WA-2010-95</t>
  </si>
  <si>
    <t>WASHOE CO BOARD OF COMMISS</t>
  </si>
  <si>
    <t>FARR CONSTRUCTION</t>
  </si>
  <si>
    <t>PUBLIC DEFENDERS OFFICE REMODEL</t>
  </si>
  <si>
    <t>WA-2010-96</t>
  </si>
  <si>
    <t>DIAMOND G CONSTRUCTION</t>
  </si>
  <si>
    <t>GYM BLEACHER REPLACEMENT</t>
  </si>
  <si>
    <t>WA-2010-97</t>
  </si>
  <si>
    <t>SECURITY CCTV SYSTEM INSTALL-PHASE 2</t>
  </si>
  <si>
    <t>LA-2010-98</t>
  </si>
  <si>
    <t>LANDER CO BOARD OF COMMISS</t>
  </si>
  <si>
    <t>HE HUNNEWILL CONST/UNDER 100,000</t>
  </si>
  <si>
    <t>LANDER CO WWTF POND ABONDONMENT</t>
  </si>
  <si>
    <t>LY-2010-99</t>
  </si>
  <si>
    <t>LYON CO BOARD OF COMMISSIONER</t>
  </si>
  <si>
    <t>LYON CO DETENTION FACILITY</t>
  </si>
  <si>
    <t>CC-2010-100</t>
  </si>
  <si>
    <t>EL CAMINO CONSTRUCTION</t>
  </si>
  <si>
    <t>NORTH-SOUTH WATER TRANMISSION MAIN PHASE 1</t>
  </si>
  <si>
    <t>CC-2010-101</t>
  </si>
  <si>
    <t>CANCELED &amp; COMBINED W 10-100</t>
  </si>
  <si>
    <t>PRODUCTI0N WELL 4 DRILLING, CONSTRUCTION &amp; TESTING</t>
  </si>
  <si>
    <t>WA-2010-102</t>
  </si>
  <si>
    <t>WEST 7TH ST WATER TANK</t>
  </si>
  <si>
    <t>CH-2010-103</t>
  </si>
  <si>
    <t>CHURCHILL CO BOARD OF COMMISNR</t>
  </si>
  <si>
    <t>CHURCHILL CO OASIS SERWER INTERCEPTOR</t>
  </si>
  <si>
    <t>CC-2010-104</t>
  </si>
  <si>
    <t>A-PRODUCTION WELL 4 REMODEL &amp; PIPING MODIFICATIONS &amp; B-PRODUCTI0N WELL 24 PHASE 2 UPGRADES</t>
  </si>
  <si>
    <t>2*/16/10</t>
  </si>
  <si>
    <t>DO-2010-105</t>
  </si>
  <si>
    <t>MINDEN GARDNERVILLE SANITATION</t>
  </si>
  <si>
    <t>KG WALTERS CONSTRUCTION</t>
  </si>
  <si>
    <t>GREASE DIGESTION &amp; COGENERATION DESIGN PROJECT</t>
  </si>
  <si>
    <t>WA-2010-106</t>
  </si>
  <si>
    <t>DO CO  COMMUNITY SERVICES</t>
  </si>
  <si>
    <t>Q&amp;D CONSTRUCTION</t>
  </si>
  <si>
    <t>TOPSY LN INTERMIN IMPROVEMENT155,000.</t>
  </si>
  <si>
    <t>DO-2010-107</t>
  </si>
  <si>
    <t>CITY OF RENO 2010 UNIT 2 MAIN REPLACEMENTS 285,000.</t>
  </si>
  <si>
    <t>WA-2010-108</t>
  </si>
  <si>
    <t>WA CO BOARD OF COMMISSIONERS</t>
  </si>
  <si>
    <t>LEMMON VALLEY WATER SYS IMPROVEMENTS HEPNER PHS 7</t>
  </si>
  <si>
    <t>WA-2010-109</t>
  </si>
  <si>
    <t>GERHARDT &amp; BERRY</t>
  </si>
  <si>
    <t>2010 PUMB STATION REHABILITATION</t>
  </si>
  <si>
    <t>DO-2010-110</t>
  </si>
  <si>
    <t>DO DEPT CONSERVATION</t>
  </si>
  <si>
    <t>UNDER 100,000/BISON CONSTRUTION</t>
  </si>
  <si>
    <t xml:space="preserve">MORMON STATION WAGON SHED REPAIR </t>
  </si>
  <si>
    <t>CH-2010-111</t>
  </si>
  <si>
    <t>CANCELED 9/14/10 PER SUE/see ch-407</t>
  </si>
  <si>
    <t>HI SCHOOL ADMIN BUILDING RE-ROOF</t>
  </si>
  <si>
    <t>01/19/.09</t>
  </si>
  <si>
    <t>EL-2010-112</t>
  </si>
  <si>
    <t>ELKO CO SCHOOL DIST</t>
  </si>
  <si>
    <t>CANCELED 5/25/10</t>
  </si>
  <si>
    <t>CARLIN HI SCHOOL DRAINAGE IMPROVEMENTS</t>
  </si>
  <si>
    <t>CH-2010-113</t>
  </si>
  <si>
    <t>TOLAS WATERWORKS CO-OP</t>
  </si>
  <si>
    <t>TOLAS WATERWORKS ARSENIC TREATMENT-FALLON</t>
  </si>
  <si>
    <t>EL-2010-114</t>
  </si>
  <si>
    <t>WELLS ELEMENTARY KITCHE REMODEL &amp; PARKING LOT</t>
  </si>
  <si>
    <t>WA-2010-115</t>
  </si>
  <si>
    <t>CHALK BLUFF PARALLEL SIPHON</t>
  </si>
  <si>
    <t>WP-2010-116</t>
  </si>
  <si>
    <t>RECK BROTHERS LLC</t>
  </si>
  <si>
    <t xml:space="preserve">WWTP POND LINING ELY </t>
  </si>
  <si>
    <t>CC-2010-117</t>
  </si>
  <si>
    <t>VALLEY SLURRY SEAL CO</t>
  </si>
  <si>
    <t xml:space="preserve">2010 ARRA MICRO-PAVING </t>
  </si>
  <si>
    <t>CC-2010-118</t>
  </si>
  <si>
    <t>ROOP ST WIDENING PHS 2</t>
  </si>
  <si>
    <t>WA-2010-119</t>
  </si>
  <si>
    <t>ANSARIE BUSINESS BLDG 4TH FLOOR REMODEL</t>
  </si>
  <si>
    <t>WA-2010-120</t>
  </si>
  <si>
    <t>RELIANT ELECTRIC LLC</t>
  </si>
  <si>
    <t>FA VALLEY RD GREENHOUSES SOLOR PHOTVOLTAIC PR SYS</t>
  </si>
  <si>
    <t>WA-2010-121</t>
  </si>
  <si>
    <t>RTC FIRE SUPPRESSION SYSTEM IN SELECT ROOMS</t>
  </si>
  <si>
    <t>WA-2010-122</t>
  </si>
  <si>
    <t>BISON CONSRUCTION</t>
  </si>
  <si>
    <t>RTC ACCESS BUS WASH SYSTEM</t>
  </si>
  <si>
    <t>HU-2010-123</t>
  </si>
  <si>
    <t>STAR CITY PROPERTY OWNERS ASSO</t>
  </si>
  <si>
    <t>STAR CITY WATER SYSTEM IMPROVEMENTS</t>
  </si>
  <si>
    <t>EL-2010-124</t>
  </si>
  <si>
    <t>ELKO HIGH SCHOOL BLEACHER REPLACEMENT</t>
  </si>
  <si>
    <t>EL-2010--125</t>
  </si>
  <si>
    <t>NV DIV OF WATER RESOURCES</t>
  </si>
  <si>
    <t>ASSOCIATED UNDERWATER SRVS</t>
  </si>
  <si>
    <t>HYDRAULIC VALVE OPERATOR MAINTENANCE AT SOUTH FORK</t>
  </si>
  <si>
    <t>HU-2010-126</t>
  </si>
  <si>
    <t>MCDERMITT WATER SYSTEMS</t>
  </si>
  <si>
    <t>EXPLORATORY DRILLLING &amp; WELL IMPROVEMENTS</t>
  </si>
  <si>
    <t>MI-2010-127</t>
  </si>
  <si>
    <t>WALKER LAKE GID</t>
  </si>
  <si>
    <t>EXPLORATORY DRILLING &amp; WELL IMPROVEMENTS</t>
  </si>
  <si>
    <t>WA-2010-128</t>
  </si>
  <si>
    <t>NELSON ELECTRIC</t>
  </si>
  <si>
    <t>RTC FACILITY LIGHTING</t>
  </si>
  <si>
    <t>WA-2010-129</t>
  </si>
  <si>
    <t>SUTRO HVAC</t>
  </si>
  <si>
    <t>CC-2010-130</t>
  </si>
  <si>
    <t>V &amp; C CONSTRUCTION INC</t>
  </si>
  <si>
    <t>E WASHINGTON ST CDBG PEDESTRIAN IMPROVEMENTS</t>
  </si>
  <si>
    <t>CDBG</t>
  </si>
  <si>
    <t>WA-2010-131</t>
  </si>
  <si>
    <t>09/10 CONCRETE REPLACEMENT ON CALL CONTRACT</t>
  </si>
  <si>
    <t>WA-2010-132</t>
  </si>
  <si>
    <t>ASPEN DEVELOPERS</t>
  </si>
  <si>
    <t>2010 WATER PUMP STATION IMPROVEMENT</t>
  </si>
  <si>
    <t>WA-2010-133</t>
  </si>
  <si>
    <t>RED DEVELOPMENT/CITY OF SPARKS</t>
  </si>
  <si>
    <t>LEGENDS AT SPARKS MARINA 14 SCREEN MOVIE THEATER</t>
  </si>
  <si>
    <t>PRIVATE</t>
  </si>
  <si>
    <t>1/00/2010</t>
  </si>
  <si>
    <t>WA-2010-134</t>
  </si>
  <si>
    <t>BISON CONSTRUTION</t>
  </si>
  <si>
    <t>SOUND INSULATION PROGRAM PHASE 18.3</t>
  </si>
  <si>
    <t>WA-2010-135</t>
  </si>
  <si>
    <t>ALPINE ENERGY INC</t>
  </si>
  <si>
    <t>SOUND INSULATION PROGRAM PHASE 19.3</t>
  </si>
  <si>
    <t>WA-2010-136</t>
  </si>
  <si>
    <t>SOUND INSULATION PROGRAM PHASE 19.2</t>
  </si>
  <si>
    <t>WA-2010-137</t>
  </si>
  <si>
    <t xml:space="preserve">RENO TAHOE AIRPORT AUTHORITY </t>
  </si>
  <si>
    <t>SOUND INSULATION PROGRAM PHASE 18.4</t>
  </si>
  <si>
    <t>66/10/10</t>
  </si>
  <si>
    <t>CH-2010-138</t>
  </si>
  <si>
    <t>SAGE VALLEY MOBILE HOME PARK</t>
  </si>
  <si>
    <t>UNDER $100,000</t>
  </si>
  <si>
    <t>SAGE VALLEY MHP WATER TREATMENT FACILITY/UNDER 100,000</t>
  </si>
  <si>
    <t>WA-2010-139</t>
  </si>
  <si>
    <t>G&amp;S SPECIALTY CONTRACTORS</t>
  </si>
  <si>
    <t>SOUND INSULATION PROGRAM PHASE 20.1</t>
  </si>
  <si>
    <t>WA-2010-140</t>
  </si>
  <si>
    <t>SYSTEM 3 INC</t>
  </si>
  <si>
    <t>ROOF MOUNTED PHOTOVOLTIAIC SYS</t>
  </si>
  <si>
    <t>EL-2010-141</t>
  </si>
  <si>
    <t xml:space="preserve">FARR CONSTRUCTION/UNDER 100,000 </t>
  </si>
  <si>
    <t>RUBY VISTA DR WATER STORAGE TANKS EXTERIOR SURFACES COATING</t>
  </si>
  <si>
    <t>WA-2010-142</t>
  </si>
  <si>
    <t>09/10 PLYMOUTH DOTSON &amp; GUALT WAY FEDERALLY FUNDED</t>
  </si>
  <si>
    <t>EU-2010-143</t>
  </si>
  <si>
    <t>MAIN ST WATER &amp; SEWER RECONSTRUCTION</t>
  </si>
  <si>
    <t>CC-2010-144</t>
  </si>
  <si>
    <t>CARSON CITY BOARD OF SUPERVISORS</t>
  </si>
  <si>
    <t>PRODUCTION WELL 4 DRILLING, CONSTRUCTION &amp; TESTING</t>
  </si>
  <si>
    <t>WA-2010-145</t>
  </si>
  <si>
    <t>BITTER BRUSH PARK</t>
  </si>
  <si>
    <t>WA-2010-146</t>
  </si>
  <si>
    <t>2010 SURFACE TREATMENT OR CITY OF RENO STREETS</t>
  </si>
  <si>
    <t>WA-2010-147</t>
  </si>
  <si>
    <t>LEON DRIVE PEDESTRIAN PATH</t>
  </si>
  <si>
    <t>WA-2010-148</t>
  </si>
  <si>
    <t>UNITED CONSTRUCTION</t>
  </si>
  <si>
    <t>DIAMOND PEAK SKIER SERVICES BUILDING</t>
  </si>
  <si>
    <t>EL-2010-149</t>
  </si>
  <si>
    <t>FISH CLEANING STATION/UNDER 100,000</t>
  </si>
  <si>
    <t>WA-2010-150</t>
  </si>
  <si>
    <t>CANCEL 6/15/10 DUPLICATE OF 10-48</t>
  </si>
  <si>
    <t>REVITALIZATION OF THREE SCHOOLS</t>
  </si>
  <si>
    <t>CH-2010-151</t>
  </si>
  <si>
    <t>RECONSTRUCT RUNWAY 3/21</t>
  </si>
  <si>
    <t>EL-2010-152</t>
  </si>
  <si>
    <t>GROUND WATER PROTECTION-WELLS CONSERVATION CAMP</t>
  </si>
  <si>
    <t>WA-2010-153</t>
  </si>
  <si>
    <t>GLENDALE WATER SUPPLY IMPROVEMENTS</t>
  </si>
  <si>
    <t>HU-2010-154</t>
  </si>
  <si>
    <t>HUMBOLDT CONSERVATION CAMP ARSENIC TREATMENT PLANT</t>
  </si>
  <si>
    <t>WA-2010-155</t>
  </si>
  <si>
    <t>DEVCON CONSTRUCTION</t>
  </si>
  <si>
    <t>RENO BASEBALL STADIUM RETAIL &amp; TENANT IMPROVEMENT</t>
  </si>
  <si>
    <t>CH-2010-156</t>
  </si>
  <si>
    <t>CHURCHILL FACILITIES &amp; GROUNDS</t>
  </si>
  <si>
    <t>OASIS AIR CONDITIONING &amp; HEATING</t>
  </si>
  <si>
    <t>ARRA DOE GRANT HVAC REPLACEMENT</t>
  </si>
  <si>
    <t>WA-2010-157</t>
  </si>
  <si>
    <t>APRON RECONSTRUCTION PHASE 14</t>
  </si>
  <si>
    <t>HU-2010-158</t>
  </si>
  <si>
    <t>HUMBOLDT COUNTY COMMISSIONERS</t>
  </si>
  <si>
    <t>SWEENEY CONSTRUCTION</t>
  </si>
  <si>
    <t>ROCK CRUSHING AT EDEN VALLEY SOUTH PIT BURMA PIT &amp; REINHARD PIT IN PARADISE VALLEY</t>
  </si>
  <si>
    <t>WA-2010-159</t>
  </si>
  <si>
    <t>CANCELED 4/2/10</t>
  </si>
  <si>
    <t>REPLACE FIRE ALARM SYSTEMS GROUP 3 WHITEHEAD ES</t>
  </si>
  <si>
    <t>WA-2010-160</t>
  </si>
  <si>
    <t>REPLACE FIRE ALARM SYSTEMS GROUP 3 VERDI ES</t>
  </si>
  <si>
    <t>WA-2010-161</t>
  </si>
  <si>
    <t>WASHOE OC SCHOOL DIST</t>
  </si>
  <si>
    <t>REPLACE FIRE ALARM SYSTEMS GROUP 3  BECK ES</t>
  </si>
  <si>
    <t>WA-2010-162</t>
  </si>
  <si>
    <t>REPLACE FIRE ALARM SYSTEMS GROUP 3 DUN ES</t>
  </si>
  <si>
    <t>EL-2010-163</t>
  </si>
  <si>
    <t xml:space="preserve">GREAT BASIN COLLEGE PHOTOVOLTAIC </t>
  </si>
  <si>
    <t>WA-2010-164</t>
  </si>
  <si>
    <t>EAST LINCOLN WAY REHABILITATION-STANFORD TO HOWARD</t>
  </si>
  <si>
    <t>WA-2010-165</t>
  </si>
  <si>
    <t>INTERSTATE PLUMBING</t>
  </si>
  <si>
    <t>SUN VALLEY POOL HEATER</t>
  </si>
  <si>
    <t>WA-2010-166</t>
  </si>
  <si>
    <t>2010 FIRE FLOW ENHANCEMENT</t>
  </si>
  <si>
    <t>WA-2010-167</t>
  </si>
  <si>
    <t>RENO-TAHOE CONSTRUCTION INC</t>
  </si>
  <si>
    <t>HYMER AVE STORM DRAIN RECONSTRUCTION PHASE II</t>
  </si>
  <si>
    <t>WA-2010-168</t>
  </si>
  <si>
    <t>HORIZON CONSTRUCTION UNDR 1000,000</t>
  </si>
  <si>
    <t>WHITES CREEK PARKING LOT IMPROVEMENTS</t>
  </si>
  <si>
    <t>WA-2010-169</t>
  </si>
  <si>
    <t>FEDERAL INSPECTION SERVICES BAGGAGE RENOVATION</t>
  </si>
  <si>
    <t>WA-2010-170</t>
  </si>
  <si>
    <t>COMMERCIAL SOLAR SERVICES</t>
  </si>
  <si>
    <t>PHOTOVOLTAIC POWER @ BENNETT ELEMENTARY SCHOOL</t>
  </si>
  <si>
    <t>WA-2010-171</t>
  </si>
  <si>
    <t>PHOTOVOLTAIC POWER @ WOOSTER HIGH SCHOOL</t>
  </si>
  <si>
    <t>EL-2010-172</t>
  </si>
  <si>
    <t>DUPLICATE SEE EL-2010-178</t>
  </si>
  <si>
    <t>WRF EQUALIZATION IMPROVEMENTS PROJECT 2010</t>
  </si>
  <si>
    <t>WA-2010-173</t>
  </si>
  <si>
    <t>VALLEY SLURRY SEAL INC</t>
  </si>
  <si>
    <t>2010 PREVENTIVE MAINTENANCE SLURRY</t>
  </si>
  <si>
    <t>WA-2010-174</t>
  </si>
  <si>
    <t>2010 PREVENTIVE MAINTENANCE PATCHING</t>
  </si>
  <si>
    <t>WA-2010-175</t>
  </si>
  <si>
    <t>RENO CONSOLIDATED 10-02</t>
  </si>
  <si>
    <t>WA-2010-176</t>
  </si>
  <si>
    <t>PARR BLVD REHAB</t>
  </si>
  <si>
    <t>WA-2010-177</t>
  </si>
  <si>
    <t>INTERNATIONAL PLACE &amp; ICEHOUSE RD</t>
  </si>
  <si>
    <t>EL-2010-178</t>
  </si>
  <si>
    <t>CAMINO CONSTRUCTERS</t>
  </si>
  <si>
    <t>WA-2010-179</t>
  </si>
  <si>
    <t>CANCELED 5/26/10</t>
  </si>
  <si>
    <t xml:space="preserve">I-80 PYRAMID WAY NE &amp; NW QUADRANT MATCH LANDSCAPE </t>
  </si>
  <si>
    <t>WA-2010-180</t>
  </si>
  <si>
    <t>SPARKS FEEDER MAIN PHASE IV</t>
  </si>
  <si>
    <t>DROPPED RENO-TAHOE CONST</t>
  </si>
  <si>
    <t>WA-2010-181</t>
  </si>
  <si>
    <t>GARDNER ENGINEERING INC</t>
  </si>
  <si>
    <t>BUILDING #8 TEMPERATURE CONTROLS UPGRADE NNAMHS</t>
  </si>
  <si>
    <t>WA-2010-182</t>
  </si>
  <si>
    <t>SAVAGE &amp; SON INC/UNDER 100,000</t>
  </si>
  <si>
    <t>CULINARY WATER HEATING RENOVATION NO NV CORRECTIONAL</t>
  </si>
  <si>
    <t>WA-2010-183</t>
  </si>
  <si>
    <t>LIGHTING UPGRADE NV HISTORICAL SOCIETY</t>
  </si>
  <si>
    <t>WA-2010-184</t>
  </si>
  <si>
    <t>E GLENDALE AVE SANITARY SEWER REHABILATATION</t>
  </si>
  <si>
    <t>4/12//10</t>
  </si>
  <si>
    <t>WA-2010-185</t>
  </si>
  <si>
    <t>GRADEX CONSTRUCTION CO</t>
  </si>
  <si>
    <t>PECKHAM &amp; WHITE FIR TRUCK FILL STATION</t>
  </si>
  <si>
    <t>HU-2010-186</t>
  </si>
  <si>
    <t>DON M LAZORKO CONSTRUCTION INC</t>
  </si>
  <si>
    <t>HUMBOLDT GENERAL HOSPITAL MRI REMODEL</t>
  </si>
  <si>
    <t>WA-2010-187</t>
  </si>
  <si>
    <t>DEPT OF CONSERVATION &amp; NATURAL RESOURCES</t>
  </si>
  <si>
    <t>BYCICLE PATH AT WASHOE LAKE STATE PARK</t>
  </si>
  <si>
    <t>LY-2010-188</t>
  </si>
  <si>
    <t>LYON CO COMMISSIONERS</t>
  </si>
  <si>
    <t xml:space="preserve">FARR CONSTRUCTION/UNDER  </t>
  </si>
  <si>
    <t>WATER RESERVOIR INTERIOR &amp; EXTERIOR RECOATING</t>
  </si>
  <si>
    <t>LY-2010-189</t>
  </si>
  <si>
    <t>FERNELY HI SECONDARY ACCESS &amp; NDOT IMPROVEMENTS</t>
  </si>
  <si>
    <t>WA-2010-190</t>
  </si>
  <si>
    <t>RHP MECHANICAL SYS</t>
  </si>
  <si>
    <t>MDF COOLING RETROFIT AT 12 SCHOOLS</t>
  </si>
  <si>
    <t>WA-2010-191</t>
  </si>
  <si>
    <t>DELAYED SEE WA-2011-12</t>
  </si>
  <si>
    <t>SPOONER PUMPING STATION IMPROVEMENT</t>
  </si>
  <si>
    <t>WA-2010-192</t>
  </si>
  <si>
    <t>BID FOR 2010 STREET REHAB VARIOUS SITES</t>
  </si>
  <si>
    <t>WA-2010-193</t>
  </si>
  <si>
    <t>MCKINLEY PERVIOUS CONCRETE DEMONSTRATION PARKIN G LOT</t>
  </si>
  <si>
    <t>WA-2010-194</t>
  </si>
  <si>
    <t>SILVE LAKE RD REHAB STEAD TO SKY VISTA</t>
  </si>
  <si>
    <t>WA-2010-195</t>
  </si>
  <si>
    <t xml:space="preserve">WASHOE CO RTC </t>
  </si>
  <si>
    <t>S VIRGINIA ST/KEITZKE LANE IMPROVEMENTS</t>
  </si>
  <si>
    <t>WA-2010-196</t>
  </si>
  <si>
    <t>WASHOE OC RTC</t>
  </si>
  <si>
    <t>SPARKS CONSOLIDATED 10-01 RECONSTRUCTION</t>
  </si>
  <si>
    <t>WA-2010-197</t>
  </si>
  <si>
    <t>RENO CONSOLIDATED 11-01 RECONSTRUCTION PHASE 1</t>
  </si>
  <si>
    <t>WA-2010-198</t>
  </si>
  <si>
    <t>RENO CONSOLIDATED 11-02 RECONSTRUCTION PHASE 1</t>
  </si>
  <si>
    <t>WA-2010-199</t>
  </si>
  <si>
    <t>RENO CONSOLIDATED 10-01 RECONSTRUCTION</t>
  </si>
  <si>
    <t>WA-2010-200</t>
  </si>
  <si>
    <t>POWERCOM SOLUTIONS</t>
  </si>
  <si>
    <t>INFRASTRUCTURE UPGRADE HUNSBERGER, MATHEWS &amp; SPANISH SPRINGS ELEMENTARY SCHOOL</t>
  </si>
  <si>
    <t>WA-2010-201</t>
  </si>
  <si>
    <t>CANCELED 4-7 COMBINING INTO 200</t>
  </si>
  <si>
    <t>IFRASTRUCTURE UPGRADE MATTHEWS ES</t>
  </si>
  <si>
    <t>WA-2010-202</t>
  </si>
  <si>
    <t>INFRASTRUCTURE UPGRADE SPANISH SPRINGS</t>
  </si>
  <si>
    <t>WA-2010-203</t>
  </si>
  <si>
    <t>HU-2010-204</t>
  </si>
  <si>
    <t>HE HUNNEWILL CONST Per Debbie all</t>
  </si>
  <si>
    <t>PAVEMENT REHABILITATION &amp; NEW PAVEMENT HUMBOLDT CONSERVATION CAMP 09-S05 E</t>
  </si>
  <si>
    <t>COMBINDED PROJECT 204 &amp; 205</t>
  </si>
  <si>
    <t>EL-2010-205</t>
  </si>
  <si>
    <t>HE HUNNEWILL CONST  one project</t>
  </si>
  <si>
    <t>PAVEMENT REHABILITATION &amp; ADA SIDEWALKS  CARLIN CONSERVATION CAMP 09-S05 E</t>
  </si>
  <si>
    <t>EL-2010-206</t>
  </si>
  <si>
    <t>NORTHSIDE ELEMENTARY CAMPUS LIGHTING RETROFIT</t>
  </si>
  <si>
    <t>EL-2010-207</t>
  </si>
  <si>
    <t>ELKO HIGH SCHOOL CAMPUS LIGHTING RETROFIT</t>
  </si>
  <si>
    <t>WA-2010-208</t>
  </si>
  <si>
    <t>UNR</t>
  </si>
  <si>
    <t>FIELDTRUF USA</t>
  </si>
  <si>
    <t>ICA MACKAY STADIUM ARTIFICIAL TURF REPLACEMENT</t>
  </si>
  <si>
    <t>HU-2010-209</t>
  </si>
  <si>
    <t>HE HUNNEWILL</t>
  </si>
  <si>
    <t>DMV COMMERCIAL DRIVERS LICENSE-PAVEMENT REPLACEMENT</t>
  </si>
  <si>
    <t>DO-2010-210</t>
  </si>
  <si>
    <t>GARDNERVILLE RANCHOS 2010 STREET MAINTENANCE PROJECT</t>
  </si>
  <si>
    <t>WA-2010-211</t>
  </si>
  <si>
    <t>VICTORIAN SQUARE PH 2A PUBLIC INFRASTRUCTURE IMP PROJ</t>
  </si>
  <si>
    <t>WA-2010-212</t>
  </si>
  <si>
    <t>SOLAR PANEL INSTALLATION AT CORPORATE</t>
  </si>
  <si>
    <t>CC-2010-213</t>
  </si>
  <si>
    <t>CANCELED 8/17/10</t>
  </si>
  <si>
    <t>DETR/NSHE ENERGY SERVICES PERFORMANCE CONTRACT</t>
  </si>
  <si>
    <t>PE-2010-214</t>
  </si>
  <si>
    <t>CANCELED PER DORA DUPLICATE 8/9/10</t>
  </si>
  <si>
    <t xml:space="preserve">LOVELOCK WWTP SCREENTING FACILITY </t>
  </si>
  <si>
    <t>WA-2010-215</t>
  </si>
  <si>
    <t>D&amp;D ROOFING &amp; SHEET METAL</t>
  </si>
  <si>
    <t>ROOFING AT VETERANS ELEM SCHOOL-SECTIONS B &amp; C</t>
  </si>
  <si>
    <t>WA-2010-216</t>
  </si>
  <si>
    <t>ROOFING AT CANNAN ELEM SCHOOL-SECTIONS A &amp; D</t>
  </si>
  <si>
    <t>WA-2010-217</t>
  </si>
  <si>
    <t>ROOFING AT ECHO LODAR ELEM SCHOOL SECTIONS A B C &amp; D</t>
  </si>
  <si>
    <t>LY-2010-218</t>
  </si>
  <si>
    <t>SO LYON CO HOSPITAL DISTRICT</t>
  </si>
  <si>
    <t>DESERT ENGINEETING</t>
  </si>
  <si>
    <t>SO LYON MEDICAL CENTER PARKING LOT REHABILITATION</t>
  </si>
  <si>
    <t>DO-2010-219</t>
  </si>
  <si>
    <t>2010 ANNUAL STREET REHABILITATION</t>
  </si>
  <si>
    <t>WA-2010-220</t>
  </si>
  <si>
    <t>ROOFING AT GERLACH HIGH SCHOOL SECTIONS A, B1 &amp; B2</t>
  </si>
  <si>
    <t>LY-2010-221</t>
  </si>
  <si>
    <t>UNDER 100,000/ R &amp; R ROOFING INC</t>
  </si>
  <si>
    <t>ROOF REPLACEMENT YERINGTON ARMORY</t>
  </si>
  <si>
    <t>WA-2010-222</t>
  </si>
  <si>
    <t>REDFIELD CAMPUS TELESCOPE INSTALLATION</t>
  </si>
  <si>
    <t>WA-2010-223</t>
  </si>
  <si>
    <t>SPINITAR</t>
  </si>
  <si>
    <t>SOM CENTER FOR MOLECULAR MEDICINE AUDIO VIDEO SYS</t>
  </si>
  <si>
    <t>WA-2010-224</t>
  </si>
  <si>
    <t>S LARKIN CIRCLE STORM DRAIN REPLACEMENT</t>
  </si>
  <si>
    <t>EU-2010-225</t>
  </si>
  <si>
    <t>CRESCENT VALLEY WATER TREATMENT PLANT PRE-PURCHASE</t>
  </si>
  <si>
    <t>WA-2010-226</t>
  </si>
  <si>
    <t>CBI LAB AT SPARKS HS</t>
  </si>
  <si>
    <t>WA-2010-227</t>
  </si>
  <si>
    <t>CANCEL 5/13/10</t>
  </si>
  <si>
    <t>CBI LAB AT HUG HS</t>
  </si>
  <si>
    <t>WA-2010-228</t>
  </si>
  <si>
    <t>CBI LAB AT WOOSTER HS</t>
  </si>
  <si>
    <t>WA-2010-229</t>
  </si>
  <si>
    <t>CBI LAB AT RENO HS</t>
  </si>
  <si>
    <t>WA-2010-230</t>
  </si>
  <si>
    <t>PHOTOVOLTAIC POWER PRODUCTION</t>
  </si>
  <si>
    <t>WA-2010-231</t>
  </si>
  <si>
    <t>WA-2010-232</t>
  </si>
  <si>
    <t>WA-2010-233</t>
  </si>
  <si>
    <t>RANGER CONSTRUCTION</t>
  </si>
  <si>
    <t>WA-2010-234</t>
  </si>
  <si>
    <t>RTC-RIDE HYDRAULIC LIFT REPLACEMENT</t>
  </si>
  <si>
    <t>LY-2010-235</t>
  </si>
  <si>
    <t>CARSON PUMP/ UNDER 100,000</t>
  </si>
  <si>
    <t>WATER &amp; SEWER PUMP DEVELOPMENT-TESTING OF WELL</t>
  </si>
  <si>
    <t>CC-2010-236</t>
  </si>
  <si>
    <t>CARSON CITY PRODUCTION WELL 50 &amp; 24 INCH WATER LINE CONSTRUCTION</t>
  </si>
  <si>
    <t>WA-2010-237</t>
  </si>
  <si>
    <t>RENO CONSOLIDATED 10-05 PROJECT</t>
  </si>
  <si>
    <t>WA-2010-238</t>
  </si>
  <si>
    <t xml:space="preserve">REVITALIZATION OF ELMCREST </t>
  </si>
  <si>
    <t>WA-2010-239</t>
  </si>
  <si>
    <t>2010 PERMANENT PATCH PROGRAM</t>
  </si>
  <si>
    <t>WA-2010-240</t>
  </si>
  <si>
    <t xml:space="preserve">2010 SPARKS/ RTC CONSOLIDATED PROJECT </t>
  </si>
  <si>
    <t>EU-2010-241</t>
  </si>
  <si>
    <t>EUREKA CO SCHOOL DIST</t>
  </si>
  <si>
    <t>CANCELED 7/27/10/DUPLICATED SEE 416</t>
  </si>
  <si>
    <t>EUREKA HIGHSCHOOL TRACK &amp; FIELD PROJECT</t>
  </si>
  <si>
    <t>LY-2010-242</t>
  </si>
  <si>
    <t>ALFONSO DRIVE RECONSTRUCTION</t>
  </si>
  <si>
    <t>WA-2010-243</t>
  </si>
  <si>
    <t>TANBURG DRIVE</t>
  </si>
  <si>
    <t>WA-2010-244</t>
  </si>
  <si>
    <t>YORK WAY</t>
  </si>
  <si>
    <t>WA-2010-245</t>
  </si>
  <si>
    <t>EAST GLENDALE AVE</t>
  </si>
  <si>
    <t>WA-2010-246</t>
  </si>
  <si>
    <t>ASBESTOS ABATEMENT AT ANDERSON ELEMENTARY SCHOOL</t>
  </si>
  <si>
    <t>WA-2010-247</t>
  </si>
  <si>
    <t>ASBESTOS ABATEMENT AT WOOSTER HIGH SCHOOL</t>
  </si>
  <si>
    <t>LY-2010-248</t>
  </si>
  <si>
    <t>CENTRAL LYON CO FIRE DIST</t>
  </si>
  <si>
    <t>CENTRAL LYON CO FIRE DIST STATION  #37</t>
  </si>
  <si>
    <t>RAPID CONSTRUCTION</t>
  </si>
  <si>
    <t>BUILDERS WHOLESALE</t>
  </si>
  <si>
    <t>CAPITAL GLASS</t>
  </si>
  <si>
    <t>EXCAL CONSTRUCTION</t>
  </si>
  <si>
    <t>KEYSTONE MASONRY</t>
  </si>
  <si>
    <t>LA THOMAS CO</t>
  </si>
  <si>
    <t xml:space="preserve">OVERHEAD DOOR CO </t>
  </si>
  <si>
    <t>AD CONSTRUCTION</t>
  </si>
  <si>
    <t>STATE FIRE PROTECTION</t>
  </si>
  <si>
    <t>BLUE MOUNTAIN STEEL</t>
  </si>
  <si>
    <t>DESERT ENGINEERING</t>
  </si>
  <si>
    <t>LY-2010-249</t>
  </si>
  <si>
    <t xml:space="preserve">SILVERBUD PHASE 2 SS LATERALS FERNLEY NV </t>
  </si>
  <si>
    <t>WA-2010-250</t>
  </si>
  <si>
    <t>WASHOE CO DEPT OF RESOURCES</t>
  </si>
  <si>
    <t>UNDER 100,000/Far West Erosion Control Co</t>
  </si>
  <si>
    <t>SEWER LIFT STATION CATHODIC PROTECTION RETROFIT</t>
  </si>
  <si>
    <t>WA-2010-251</t>
  </si>
  <si>
    <t>PHOTOVOLTAIC POWER PRODUCTION ALLEN ELEMENTARY</t>
  </si>
  <si>
    <t>WA-2010-252</t>
  </si>
  <si>
    <t>PHOTOVOLTAIC POWER PRODUCTION HUG HIGH</t>
  </si>
  <si>
    <t>EU-2010-253</t>
  </si>
  <si>
    <t>EUREKA BOARD OF COMMISSIONERS</t>
  </si>
  <si>
    <t>EUREKA CO COURTHOUSE PAINTING</t>
  </si>
  <si>
    <t>DO-2010-254</t>
  </si>
  <si>
    <t>2010 SEALING PROJECT</t>
  </si>
  <si>
    <t>DO-2010-255</t>
  </si>
  <si>
    <t>DOUGLAS CO BOARD OF COMMISSIONERS</t>
  </si>
  <si>
    <t>KG CONSTRUCTION</t>
  </si>
  <si>
    <t>JOBS PEAK RANCH DIFFUSED AIR WATER TREATMENT FACILITY</t>
  </si>
  <si>
    <t>WA-2010-256</t>
  </si>
  <si>
    <t xml:space="preserve">ELKO CO SCHOOOL DISTRICT </t>
  </si>
  <si>
    <t>OFFICE REMODEL PHASE 1 860 ELM ST</t>
  </si>
  <si>
    <t>WA-2010-257</t>
  </si>
  <si>
    <t xml:space="preserve">TMCC MEADOWOOD HVAC </t>
  </si>
  <si>
    <t>DO-2010-258</t>
  </si>
  <si>
    <t>MINDEN 2010 STREET REHABILITATION</t>
  </si>
  <si>
    <t>DO-2010-259</t>
  </si>
  <si>
    <t>MINDEN 2010 BUCKEYE &amp; EAST VALLEY WATERLINE</t>
  </si>
  <si>
    <t>WA-2010-260</t>
  </si>
  <si>
    <t>SPICE ISLAND &amp; UNITED CIRCLE REHABILITATION</t>
  </si>
  <si>
    <t>WA-2010-261</t>
  </si>
  <si>
    <t>PARR CIRCLE &amp; CATRON DRIVE REHABILITATION</t>
  </si>
  <si>
    <t>DO-2010-262</t>
  </si>
  <si>
    <t xml:space="preserve">DOUGLAS CO BOARD OF COMMISSIONERS </t>
  </si>
  <si>
    <t>LAKE VILLAGE PHS II WATER QUALITY IMPROVEMENT</t>
  </si>
  <si>
    <t>DO-2010-263</t>
  </si>
  <si>
    <t>ROUND HILL GID</t>
  </si>
  <si>
    <t>RHGID 2010 PAVEMENT REHAB</t>
  </si>
  <si>
    <t>DO-2010-264</t>
  </si>
  <si>
    <t>SPIESS CONSTRUCTION</t>
  </si>
  <si>
    <t>SHERWOOD DR WATERLINE REPLACEMENT</t>
  </si>
  <si>
    <t>DO-2010-265</t>
  </si>
  <si>
    <t>UNDER 100,000/SPIESS CONST</t>
  </si>
  <si>
    <t>HUBBARD WATERLINE REPLACEMENT</t>
  </si>
  <si>
    <t>DO-2010-266</t>
  </si>
  <si>
    <t>LOWER KINGSBURY WATER METERING</t>
  </si>
  <si>
    <t>DO-2010-267</t>
  </si>
  <si>
    <t>KINGSBURY VILLAGE WATER METERING</t>
  </si>
  <si>
    <t>DO-2010-268</t>
  </si>
  <si>
    <t>SKI CT WATERLINE REPLACEMENT</t>
  </si>
  <si>
    <t>WA-2010-269</t>
  </si>
  <si>
    <t>BJ'S RESTAURANTS INC</t>
  </si>
  <si>
    <t>TERRA NOVA INDUSTRIES</t>
  </si>
  <si>
    <t>BJ'S RESTAURANT AT THE LEGENDS</t>
  </si>
  <si>
    <t>ST-2010-270</t>
  </si>
  <si>
    <t>STOREY COUNTY SCHOOL DIST</t>
  </si>
  <si>
    <t>ENERGY CONSERVATION</t>
  </si>
  <si>
    <t>STIMULUS</t>
  </si>
  <si>
    <t>WA-2010-271</t>
  </si>
  <si>
    <t>WEST COAST CONTRACTORS OF NV</t>
  </si>
  <si>
    <t>REVITALIZATION OF HUNTER LAKE ELEMENTARY SCHOOL</t>
  </si>
  <si>
    <t>WP-2010-272</t>
  </si>
  <si>
    <t>SOUTHERN Nevada Water Authority</t>
  </si>
  <si>
    <t>SHOSHONE &amp; Cleveland Ranch Monitor Well Construction</t>
  </si>
  <si>
    <t>WA-2010-273</t>
  </si>
  <si>
    <t>REVITALIZATION OF MT ROSE ELEMENTARY SCHOOL</t>
  </si>
  <si>
    <t>EL-2010-274</t>
  </si>
  <si>
    <t>CARSON UNLIMITED</t>
  </si>
  <si>
    <t>SPRING CREEK HI ENTRY ROAD PAVEMENT REPLACEMENT</t>
  </si>
  <si>
    <t>WA-2010-275</t>
  </si>
  <si>
    <t>MAN TERMINAL BLDG EXTERIOR UPGRADE STONE &amp; STUCCO</t>
  </si>
  <si>
    <t>WA-2010-276</t>
  </si>
  <si>
    <t>BOARD OF REGENTS NSHE</t>
  </si>
  <si>
    <t>RFI COMMUNICATIONS &amp; SECURITY SYS</t>
  </si>
  <si>
    <t>PERIMETER ACCESS SYSTEM</t>
  </si>
  <si>
    <t>EL-2010-277</t>
  </si>
  <si>
    <t>RUNWAY 5-23 OBSTRUCTION REMOVAL PHASE 2</t>
  </si>
  <si>
    <t>WA-2010-278</t>
  </si>
  <si>
    <t>PARKING GALLERY</t>
  </si>
  <si>
    <t>DO-2010-279</t>
  </si>
  <si>
    <t>CANCELED 09/08/2010</t>
  </si>
  <si>
    <t>DISTRICT WIDE RE-KEYING</t>
  </si>
  <si>
    <t>WA-2010-280</t>
  </si>
  <si>
    <t>RENO BUSINESS INTERIORS INC</t>
  </si>
  <si>
    <t>SOM CENTER FOR MOLECULAR MEDICINE PROVIDE &amp; INSTALL FURNITURE IN LAB WING</t>
  </si>
  <si>
    <t>EL-2010-281</t>
  </si>
  <si>
    <t>REMOVAL OF OBSTRUCTIONS FROM RUNWAY 5-23</t>
  </si>
  <si>
    <t>WA-2010-282</t>
  </si>
  <si>
    <t>PAVINE EMERGENCY VEHICLE ACCESS ROADWAY</t>
  </si>
  <si>
    <t>WA-2010-283</t>
  </si>
  <si>
    <t>SMITH MECHANICAL INC</t>
  </si>
  <si>
    <t>BOILER REPLACEMENT DODSON ES</t>
  </si>
  <si>
    <t>WA-2010-284</t>
  </si>
  <si>
    <t>BOILER REPLACEMENT DIEDRICHSEN ES</t>
  </si>
  <si>
    <t>WA-2010-285</t>
  </si>
  <si>
    <t>BOILER REPLACEMENT LENZ ES</t>
  </si>
  <si>
    <t>WA-2010-286</t>
  </si>
  <si>
    <t>BOILER REPLACEMENT PALMER ES</t>
  </si>
  <si>
    <t>DO-2010-287</t>
  </si>
  <si>
    <t>DOUGLAS CO BOARD OFCOMMISSIONERS</t>
  </si>
  <si>
    <t>SLURRY SEAL</t>
  </si>
  <si>
    <t>WA-2010-288</t>
  </si>
  <si>
    <t>PHOTOVOLTAIC POWER PRODUCTION BEASLEY ES</t>
  </si>
  <si>
    <t>WA-2010-289</t>
  </si>
  <si>
    <t>NELSO ELECTRIC CO</t>
  </si>
  <si>
    <t>PHOTOVOLTAIC POWER PRODUCTION CAUGHLIN RANCH ES</t>
  </si>
  <si>
    <t>WA-2010-290</t>
  </si>
  <si>
    <t>CANCELED/COMBINED W 10-231</t>
  </si>
  <si>
    <t>PHOTOVOLTAIC POWER PRODUCTION WINNEMUCCA ES</t>
  </si>
  <si>
    <t>LA-2010-291</t>
  </si>
  <si>
    <t>LANDER CO STREET REHABILITATIONS 2010</t>
  </si>
  <si>
    <t>CC-2010-292</t>
  </si>
  <si>
    <t>PRO-TECH FIRE PROTECTION SYS CORP</t>
  </si>
  <si>
    <t>NO NV CORRECTIONAL CENTER FIRE ALARM UPGRADE</t>
  </si>
  <si>
    <t>ST-2010-293</t>
  </si>
  <si>
    <t>STOREY CO COMMUNITY CHEST INC</t>
  </si>
  <si>
    <t>VIRGINIA CITY YOUTH &amp; COMMUNITY CENTER</t>
  </si>
  <si>
    <t>HAUS PLUMBING &amp; MECHANICAL</t>
  </si>
  <si>
    <t>TEDESCO PACIFIC CONSTRUCTION</t>
  </si>
  <si>
    <t>F &amp; P CONSTRUCTION</t>
  </si>
  <si>
    <t>NORT EAST MASONRY</t>
  </si>
  <si>
    <t>RICKS FLOOR COMERING</t>
  </si>
  <si>
    <t>UNITED ELECTRICAL SRVS</t>
  </si>
  <si>
    <t>SOUTHAM &amp; ASSOC</t>
  </si>
  <si>
    <t>CUSTOM GLASS</t>
  </si>
  <si>
    <t>WOOD PAINTING</t>
  </si>
  <si>
    <t>FLEET HEATING &amp; AIR INC</t>
  </si>
  <si>
    <t>WA-2010-294</t>
  </si>
  <si>
    <t>GERLACH HI SCHOOL PAVING &amp; DRAINAGE IMPROVEMENTS</t>
  </si>
  <si>
    <t>WA-2010-295</t>
  </si>
  <si>
    <t>FLOORING AT WOOSTER HIGH SCHOOL</t>
  </si>
  <si>
    <t>PE-2010-296</t>
  </si>
  <si>
    <t>LOVELOCK WWTP SCREENING FACILITY</t>
  </si>
  <si>
    <t>PE-2010-297</t>
  </si>
  <si>
    <t>MEADOW LANE LIFT STATION REHABILITATION</t>
  </si>
  <si>
    <t>LY-2010-298</t>
  </si>
  <si>
    <t xml:space="preserve">NO NV VETERANS MEMORIAL CEMETERY PHS 2-A </t>
  </si>
  <si>
    <t>CC-2010-299</t>
  </si>
  <si>
    <t>BOARD OF REGENTS OF NSHE/UNR</t>
  </si>
  <si>
    <t>WESTERN NEVADA COLLEGE ROOF REPLACEMENT OF BRISTLECONE , ASPEN, PINION, SAGE &amp; GETTO BUILDINGS</t>
  </si>
  <si>
    <t>CC-2010-300</t>
  </si>
  <si>
    <t>AVE B 13TH TO 14TH SEWER</t>
  </si>
  <si>
    <t>PE-2010-301</t>
  </si>
  <si>
    <t>PERSHING CO SCHOOL DIST</t>
  </si>
  <si>
    <t>UNDER 100,000/MARCOR</t>
  </si>
  <si>
    <t>ABATEMENT OF SOFFITS AT MIDDLE SCHOOL</t>
  </si>
  <si>
    <t>WA-2010-302</t>
  </si>
  <si>
    <t>WOOSTER HI PAVING &amp; DRAINAGE IMPROVEMENTS</t>
  </si>
  <si>
    <t>LY-2010-303</t>
  </si>
  <si>
    <t>INDUSTRIAL DRIVE RECONSTRUCTION</t>
  </si>
  <si>
    <t>WA-2010-304</t>
  </si>
  <si>
    <t>RENO CONSOLIDATED 10-04 PROJECT</t>
  </si>
  <si>
    <t>HU-2010-305</t>
  </si>
  <si>
    <t>HCSD ARRA PROJECTS LOWRY HI SCHOOL</t>
  </si>
  <si>
    <t>D &amp; D ROOFING CO</t>
  </si>
  <si>
    <t>HU-2010-306</t>
  </si>
  <si>
    <t>MARCOR ABATEMENT</t>
  </si>
  <si>
    <t>HCSD BONO PROJECTS VARIOUS SCHOOLS</t>
  </si>
  <si>
    <t>ALPINE ROOFING CO</t>
  </si>
  <si>
    <t>CR DRAKE &amp; SONS</t>
  </si>
  <si>
    <t>DESERT DESIGN ICN</t>
  </si>
  <si>
    <t>JIM WARNER INSULATION</t>
  </si>
  <si>
    <t>CC-2010-307</t>
  </si>
  <si>
    <t>UNITED ELECTRICAL SERVICES</t>
  </si>
  <si>
    <t>CCSD LIGHTING RETROFIT 3 SCHOOLS</t>
  </si>
  <si>
    <t>LA-2010-308</t>
  </si>
  <si>
    <t>LANDER CO SCHOOL DIST</t>
  </si>
  <si>
    <t>PV SOLAR SYSTEMS HI SCHOOL &amp; ELEMENTARY</t>
  </si>
  <si>
    <t>PE-2010-309</t>
  </si>
  <si>
    <t>HIGH SCHOOL SOLAR SYSTEMS 8O KW</t>
  </si>
  <si>
    <t>PE-2010-310</t>
  </si>
  <si>
    <t>SUMMER PROJECTS HVAC, ELEC, ROOF STRUCTURE</t>
  </si>
  <si>
    <t>MAY/JUNE</t>
  </si>
  <si>
    <t>GOIDENBY CONSTRUCTION</t>
  </si>
  <si>
    <t>JOINDER</t>
  </si>
  <si>
    <t>RASMOSSEN CONSTRUCTIN</t>
  </si>
  <si>
    <t>WA-2010-311</t>
  </si>
  <si>
    <t>ECHO LODER SCHOOL FIELD RENOVATION</t>
  </si>
  <si>
    <t>LY-2010-312</t>
  </si>
  <si>
    <t>LYON CO UTILITIES DEPT</t>
  </si>
  <si>
    <t>COONS CONSSTRUCTION LLC</t>
  </si>
  <si>
    <t>ROLLING A WWTP SLUDGE POND MODIFICATIONS</t>
  </si>
  <si>
    <t>WA-2010-313</t>
  </si>
  <si>
    <t>2010 SPARKS ST REHABILITATION UNIT 1</t>
  </si>
  <si>
    <t>WA-2010-314</t>
  </si>
  <si>
    <t>2010 INTERSECTION CORRECTIVE MAINTENANCE</t>
  </si>
  <si>
    <t>WA-2010-315</t>
  </si>
  <si>
    <t>EXTERIOR BUILDING PAINTING</t>
  </si>
  <si>
    <t>WA-2010-316</t>
  </si>
  <si>
    <t>LARKIN CIRCLE &amp; MADISON AVE RECONSTRUCTION</t>
  </si>
  <si>
    <t>EL-2010-317</t>
  </si>
  <si>
    <t>CANCELED 5-26/10</t>
  </si>
  <si>
    <t>OFFICE REMODEL PHASE 850 ELM ST</t>
  </si>
  <si>
    <t>WA-2010-318</t>
  </si>
  <si>
    <t>PEDESTRIAN PATH/BIKE LAND ENHANCEMENT</t>
  </si>
  <si>
    <t>LY-2010-319</t>
  </si>
  <si>
    <t>SANTA MARIA AQUATIC PARK</t>
  </si>
  <si>
    <t>HU-2010-320</t>
  </si>
  <si>
    <t>R&amp;O CONSTRUCTION CO</t>
  </si>
  <si>
    <t>GENERAL HOSPITAL REMODEL &amp; MEDICAL OFFICE BLDG ADD</t>
  </si>
  <si>
    <t>WA-2010-321</t>
  </si>
  <si>
    <t>KODIAK ROOFING</t>
  </si>
  <si>
    <t>COOPERATIVE EXTENTION BLDG REROOF</t>
  </si>
  <si>
    <t>WA-2010-322</t>
  </si>
  <si>
    <t>FRANK EVAN CONSTRUCTION</t>
  </si>
  <si>
    <t>TMCC NURSING-RED MOUNTAIN &amp; REDFIELD</t>
  </si>
  <si>
    <t>EL-2010-323</t>
  </si>
  <si>
    <t>RE-ROOF NEVADA YOUTH CENTER, 9 COTTAGES</t>
  </si>
  <si>
    <t>DO-2010-324</t>
  </si>
  <si>
    <t>NELSON ELECTRIC/TOTAL AWARD</t>
  </si>
  <si>
    <t>NETWORK REWIRING 2:PHASE ONES</t>
  </si>
  <si>
    <t>EL-2010-325</t>
  </si>
  <si>
    <t>SNYDER AVE RE-ALIGNMENT (MEDIAN MOD)</t>
  </si>
  <si>
    <t>WA-2010-326</t>
  </si>
  <si>
    <t>PARKING LOT IMPROVEMENTS AT PICOLLO SCHOOL</t>
  </si>
  <si>
    <t>HU-2010-327</t>
  </si>
  <si>
    <t>2010 WINNEMUCCA CHIP SEAL</t>
  </si>
  <si>
    <t>WA-2010-328</t>
  </si>
  <si>
    <t>RIDGEVIEW DRIVE RECONSTRUCTION</t>
  </si>
  <si>
    <t>WA-2010-329</t>
  </si>
  <si>
    <t>OXBOW PARK STREAMBANK &amp; INFRASTRUCTURE PROTECTION</t>
  </si>
  <si>
    <t>WA-2010-330</t>
  </si>
  <si>
    <t>LOOP RD &amp; SALOMON CIR REHABILITATION</t>
  </si>
  <si>
    <t>WA-2010-331</t>
  </si>
  <si>
    <t>VEHICLE MAINTENANCE FACILITY YARD PAVING</t>
  </si>
  <si>
    <t>WA-2010-332</t>
  </si>
  <si>
    <t>WASHOE LAKE STATE PARK ADA IMPROVEMENTS</t>
  </si>
  <si>
    <t>WA-2010-333</t>
  </si>
  <si>
    <t>WOOSTER HI CEILING/SOFFIT REPLACEMENT</t>
  </si>
  <si>
    <t>WA-2010-334</t>
  </si>
  <si>
    <t>2011 STREET REHABILITATION-UNIT 1</t>
  </si>
  <si>
    <t>WA-2010-335</t>
  </si>
  <si>
    <t>LINDA WAY &amp; SOUTHERN WAY RECONSTRUCTION</t>
  </si>
  <si>
    <t>WA-2010-336</t>
  </si>
  <si>
    <t>WELDING SHOP VENTILATION &amp; EXHAUST IMPROVEMENTS AT GALENA &amp; SPARKS HIGH SCHOOLS</t>
  </si>
  <si>
    <t>WA-2010-337</t>
  </si>
  <si>
    <t>EAST 4TH ST CELLAR VAULT REPLACEMENTS</t>
  </si>
  <si>
    <t>EL-2010-338</t>
  </si>
  <si>
    <t>R &amp; R ROOFING/UNDER 100,000</t>
  </si>
  <si>
    <t>RE-ROOF ELKO MAIN ARMORY BUILDING</t>
  </si>
  <si>
    <t>WP-2010-339</t>
  </si>
  <si>
    <t>CLEARY BUILDING CORP</t>
  </si>
  <si>
    <t>LANDFILL &amp; ANIMAL CONTROL BUILDING</t>
  </si>
  <si>
    <t>OCTOBER</t>
  </si>
  <si>
    <t>EL-2010-340</t>
  </si>
  <si>
    <t>WRF EFFLUENT REUSE SITE N PIVOT RIB EXPANSION</t>
  </si>
  <si>
    <t>WA-2010-341</t>
  </si>
  <si>
    <t>COLISEUM WAY/YORI AVE REHABILITATION</t>
  </si>
  <si>
    <t>WA-2010-342</t>
  </si>
  <si>
    <t>K7 CONSTRUCTION/UNDER 100,000</t>
  </si>
  <si>
    <t>JOE CROWLEY STUDENT UNION 1ST FLOOR OPS WELCOME CNTR</t>
  </si>
  <si>
    <t>EL-2010-343</t>
  </si>
  <si>
    <t>OFFICE REMODEL-REMODEL AT 8580 ELM ST ELKO</t>
  </si>
  <si>
    <t>WA-2010-344</t>
  </si>
  <si>
    <t>FRANK LEPORI CONST</t>
  </si>
  <si>
    <t>PURCHASING WAREHOUSE SEISMIC RETROFIT</t>
  </si>
  <si>
    <t>CC-2010-345</t>
  </si>
  <si>
    <t>FRISTCH ELEMENTARY SCHOOL ROOF/ENTRY REMODEL</t>
  </si>
  <si>
    <t>WA-2010-346</t>
  </si>
  <si>
    <t>2ND JUDICIAL DISTRICT COURT DEPT 15 TENANT IMPROVEMENT</t>
  </si>
  <si>
    <t>WA-2010-347</t>
  </si>
  <si>
    <t>SECURITY CIRCLE RECONSTRUCTION</t>
  </si>
  <si>
    <t>WA-2010-348</t>
  </si>
  <si>
    <t>RUNWAY 9 CONNECTOR NORTH APRON &amp; TAXIWAY C</t>
  </si>
  <si>
    <t>LA-2010-349</t>
  </si>
  <si>
    <t>BATTLE MOUNTAIN/LANDER CO 2010 PHASE 2 PAVING</t>
  </si>
  <si>
    <t>CC-2010-350</t>
  </si>
  <si>
    <t>CARSON CITY WATERFALL FIRE WATERSHED IMPROVEMENTS PHASE 2</t>
  </si>
  <si>
    <t>LY-2010-351</t>
  </si>
  <si>
    <t>FERNLEY SHERIFF SUB STA CHN ADDITON &amp; REMODEL</t>
  </si>
  <si>
    <t>CC-2010-352</t>
  </si>
  <si>
    <t>SILVER OAK DRIVE &amp; N CARSON ST INTERSECTION IMPROVEMENTS</t>
  </si>
  <si>
    <t>WA-2010-353</t>
  </si>
  <si>
    <t>MAE ANNE AVE PHASE 3/AVENIDA DE LANDA</t>
  </si>
  <si>
    <t>WA-2010-354</t>
  </si>
  <si>
    <t>LAKESIDE DR SANITARY SEWER TRUNK REPLACEMENT</t>
  </si>
  <si>
    <t>WA-2010-355</t>
  </si>
  <si>
    <t>SODEXO-UNR CONCESSIONAIRE</t>
  </si>
  <si>
    <t>MACKAY STADIUM SO END ZONE FOODSERVICE IMPROVEMENTS</t>
  </si>
  <si>
    <t>WA-2010-356</t>
  </si>
  <si>
    <t>RENO HIGH SCHOOL BOILER UPGRADES</t>
  </si>
  <si>
    <t>WA-2010-357</t>
  </si>
  <si>
    <t>WINNEMUCCA ENERGY EFFICIENCY RETRO-RIT</t>
  </si>
  <si>
    <t>DO-2010-358</t>
  </si>
  <si>
    <t>DOUGLAS CO BOARD OF COMMISS</t>
  </si>
  <si>
    <t>N DOUGLAS CARSON CITY WATER LINE INTER-TIE PHS 1 SEC-1</t>
  </si>
  <si>
    <t>CC-2010-359</t>
  </si>
  <si>
    <t>MURPHY BUILT CONSTRUCTION INC</t>
  </si>
  <si>
    <t>SANITARY SEWER SYSTEM UPGRADES, NNCC</t>
  </si>
  <si>
    <t>LA-2010-360</t>
  </si>
  <si>
    <t>LEGACY CONSTRUCTION</t>
  </si>
  <si>
    <t>BATTLE MUNTAIN WATER &amp; SEWER TRANSMISSION MAINS &amp; DOMESTIC WELLS</t>
  </si>
  <si>
    <t>LA-2010-361</t>
  </si>
  <si>
    <t>BATTLE MOUNTAIN WATER TANK</t>
  </si>
  <si>
    <t>AB198</t>
  </si>
  <si>
    <t>WA-2010-362</t>
  </si>
  <si>
    <t>BRAVO AVENUE</t>
  </si>
  <si>
    <t>CC-2010-363</t>
  </si>
  <si>
    <t>LCB PARKING GARAGE PHOTVOLTAIC RETROFIT &amp; PARKING GARAGE LIGHTING RETROFIT</t>
  </si>
  <si>
    <t>DO-2010-364</t>
  </si>
  <si>
    <t>FAN COIL UNIT &amp; BOILER REPLACEMENTS</t>
  </si>
  <si>
    <t>DO-2010-365</t>
  </si>
  <si>
    <t>JVES BOILER REPLACEMENT &amp; CCHES FAN COIL REPLACEMENT</t>
  </si>
  <si>
    <t>CH-2010-366</t>
  </si>
  <si>
    <t>HIGH SCHOOL ATHLETIC TRACK</t>
  </si>
  <si>
    <t>WA-2010-367</t>
  </si>
  <si>
    <t>REVITALIZATION OF LEMMON VALLEY ELEMENTRY SCHOOL</t>
  </si>
  <si>
    <t>WA-2010-368</t>
  </si>
  <si>
    <t>F EVANS CONSTRUCTION</t>
  </si>
  <si>
    <t>LOMBARDI RECREATION CENTER WELLNESS CENTER EXPANSION</t>
  </si>
  <si>
    <t>WA-2010-369</t>
  </si>
  <si>
    <t>CANCELED 6/22/10 DUPLICATE</t>
  </si>
  <si>
    <t>TANBERG DRIVE</t>
  </si>
  <si>
    <t>EL-2010-370</t>
  </si>
  <si>
    <t>MODERN CONCRETE</t>
  </si>
  <si>
    <t>NORTH GENE L JONES WAY SIDEWALK</t>
  </si>
  <si>
    <t>WA-2010-371</t>
  </si>
  <si>
    <t>WA-2010-372</t>
  </si>
  <si>
    <t>DELAYED SEE LY-2011-15</t>
  </si>
  <si>
    <t>LYON CO UTILITIES MAINTENANCE BUILDING</t>
  </si>
  <si>
    <t>WA-2010-373</t>
  </si>
  <si>
    <t>RENO SEWER REHAB IN LAKESIDE DR MANZANITA LN &amp; PLUMAS</t>
  </si>
  <si>
    <t>DO-2010-374</t>
  </si>
  <si>
    <t>2010 AMBER WAY WATER TANK</t>
  </si>
  <si>
    <t>WA-2010-375</t>
  </si>
  <si>
    <t>UNDER 100,000/BUILDING SOLUTIONS</t>
  </si>
  <si>
    <t>UNR EARLY HEAD START IMPROVEMENTS AT NNEIS</t>
  </si>
  <si>
    <t>EU-2010-376</t>
  </si>
  <si>
    <t>EUREKA CO COUNTY COMMISSIONER</t>
  </si>
  <si>
    <t>EUREKA CO 2010 STRETT MAINTENANCE</t>
  </si>
  <si>
    <t>LY-2010-377</t>
  </si>
  <si>
    <t>YERINGTON WATER TREATMENT PLANT</t>
  </si>
  <si>
    <t>CC-2010-378</t>
  </si>
  <si>
    <t>PRISON HILL WATER TANK #2 CONSTRUCTION PLANS</t>
  </si>
  <si>
    <t>CC-2010-379</t>
  </si>
  <si>
    <t>SOUTLAND INDUSTRIES</t>
  </si>
  <si>
    <t>HVAC SEELIGER ELEMENTARY SCHOOL</t>
  </si>
  <si>
    <t>HU-2010-380</t>
  </si>
  <si>
    <t>HUMBOLDT GENERAL HOSPITAL BOILER REPLACEMENT</t>
  </si>
  <si>
    <t xml:space="preserve">ARMY CORE </t>
  </si>
  <si>
    <t>EL-2010-381</t>
  </si>
  <si>
    <t>SHOSHONE-PAIUTE TRIBE</t>
  </si>
  <si>
    <t>CONSTRUCT AIRPORT</t>
  </si>
  <si>
    <t>8/?/10</t>
  </si>
  <si>
    <t>PE-2010-382</t>
  </si>
  <si>
    <t>MEADOW LANE LIFT STATION REHAB</t>
  </si>
  <si>
    <t>PE-2010-383</t>
  </si>
  <si>
    <t>EL-2010-384</t>
  </si>
  <si>
    <t>INSTALL NEW EQUIPMENT &amp; PARKING AREA</t>
  </si>
  <si>
    <t>EL-2010-385</t>
  </si>
  <si>
    <t>CITY GOVERNMENT COMPLEX SOLAR VOLTAIC</t>
  </si>
  <si>
    <t>PE-2010-386</t>
  </si>
  <si>
    <t>LOVELOCK PUBLIC WORKS FACILITY</t>
  </si>
  <si>
    <t>WA-2010-387</t>
  </si>
  <si>
    <t>SKY TAVERN BUILDING REHABLITATION-PERMANENT RETROFIT</t>
  </si>
  <si>
    <t>WA-2010-388</t>
  </si>
  <si>
    <t>MICHAEL R CLARK CONSTRUCTION INC</t>
  </si>
  <si>
    <t>POPEYES LOUISIANA KITCHEN</t>
  </si>
  <si>
    <t>WA-2010-389</t>
  </si>
  <si>
    <t>COOPERATIVE EXTENSION 4955 ENERGTY WAY BUILDING REMDL</t>
  </si>
  <si>
    <t>WA-2010-390</t>
  </si>
  <si>
    <t>SPINIELLO COMPANIES</t>
  </si>
  <si>
    <t>2010 WATER MAIN LINING</t>
  </si>
  <si>
    <t>HU-2010-391</t>
  </si>
  <si>
    <t xml:space="preserve">WINNEMUCCA POLICE STATION </t>
  </si>
  <si>
    <t>WA-2010-392</t>
  </si>
  <si>
    <t>ODOR CONTROL MODIFICATIONS</t>
  </si>
  <si>
    <t>WA-2010-393</t>
  </si>
  <si>
    <t>BURDICK EXCAVATING</t>
  </si>
  <si>
    <t>INCLINE &amp; THIRD CREEK RESTORATION-INCLINE WY CULVERT REPLACEMENT</t>
  </si>
  <si>
    <t xml:space="preserve">EU-2010-394 </t>
  </si>
  <si>
    <t>CONCESSION/STORAGE VACILITY &amp; BLEACHERS &amp; PRESS BOX</t>
  </si>
  <si>
    <t>EU-2010-395</t>
  </si>
  <si>
    <t xml:space="preserve">BUS BARN &amp; ASSOCIATES SITE WORK </t>
  </si>
  <si>
    <t>CC-2010-396</t>
  </si>
  <si>
    <t>CC PUBLIC WORKS SOLAR PHOTOVOLTAIC SYSTEM</t>
  </si>
  <si>
    <t>WA-2010-397</t>
  </si>
  <si>
    <t>PHOTOVOLTAIC POWER PRODUCTION MOSS ELEMENTARY</t>
  </si>
  <si>
    <t>WA-2010-398</t>
  </si>
  <si>
    <t>COMBINED WITH WA-2010-398</t>
  </si>
  <si>
    <t xml:space="preserve">PHOTOVOLTAIC POWER PRODUCTION SPANISH SPRINGS ELEMENTARY </t>
  </si>
  <si>
    <t>WA-2010-399</t>
  </si>
  <si>
    <t xml:space="preserve">PHOTOVOLTAIC POWER PRODUCTION TAYLOR ELEMENTARY </t>
  </si>
  <si>
    <t>WA-2010-400</t>
  </si>
  <si>
    <t>VAN GORDER ELEMENTARY PHOTOVOLTAIC</t>
  </si>
  <si>
    <t>WA-2010-401</t>
  </si>
  <si>
    <t>WASHOE CO REGIONAL PARKS OPEN SPACE HAWKINS FIRE ECOSYTEM RESTORATION</t>
  </si>
  <si>
    <t>WA-2010-402</t>
  </si>
  <si>
    <t>WASHOE CO REGIONAL PARKS OPEN SPACE PEAVINE FIRE ECOSYTEM RESTORATION</t>
  </si>
  <si>
    <t>CC-2010-403</t>
  </si>
  <si>
    <t xml:space="preserve">PUBLIC SAFETY TRAINING BUILDING FIRE ALARM &amp; SPRINKLER  </t>
  </si>
  <si>
    <t>WA-2010-404</t>
  </si>
  <si>
    <t>UNDER 100,000/CENTRAL SIERRA CONST</t>
  </si>
  <si>
    <t>AGRICULTURE HEADQUARTERS SITE FENCING &amp; INFRASTRUCTURE Installation</t>
  </si>
  <si>
    <t>WA-2010-405</t>
  </si>
  <si>
    <t>RENO-STEAD AIRPRT RUNWAY 8/26 SAFETY AREA IMPROVEMNTS</t>
  </si>
  <si>
    <t>CH-2010-406</t>
  </si>
  <si>
    <t>CCHS GYMNASIUM REROOF</t>
  </si>
  <si>
    <t>CH-2010-407</t>
  </si>
  <si>
    <t>MINNE BLAIR/NEW SCIENCE WING</t>
  </si>
  <si>
    <t>CH-2010-408</t>
  </si>
  <si>
    <t>OHS ROOF/CCJHS SCIENCE WING</t>
  </si>
  <si>
    <t>CH-2010-409</t>
  </si>
  <si>
    <t>CCJHS GYMNASIUM REROOF</t>
  </si>
  <si>
    <t>ARRA/CDBG</t>
  </si>
  <si>
    <t>HU-2010-410</t>
  </si>
  <si>
    <t>WINNEMUCCA SCAOA SYSTEM REPLACEMENT</t>
  </si>
  <si>
    <t>CC-2010-411</t>
  </si>
  <si>
    <t>UPGRADE ELECTRICAL POWER STEWART COMPLEX</t>
  </si>
  <si>
    <t>WA-2010-412</t>
  </si>
  <si>
    <t>I-80/PYRAMID WY NE &amp; NW QUADRANT COMMUNITY MATCH LANDSCAPE</t>
  </si>
  <si>
    <t>DO-2010-413</t>
  </si>
  <si>
    <t>ZEPHY WATER UTILITY DIST-WATER TREATMENT</t>
  </si>
  <si>
    <t>ST-2010-414</t>
  </si>
  <si>
    <t>STOREY CO COMMUNITY DEVELOPMENT DEPT</t>
  </si>
  <si>
    <t>STOREY CO ENERGY EFFICIENT COMMUNITY BLOCK GRANT</t>
  </si>
  <si>
    <t>BLOK GRNT</t>
  </si>
  <si>
    <t>WA-2010-415</t>
  </si>
  <si>
    <t>UNDER 100,000 CANCELED 8/26/10</t>
  </si>
  <si>
    <t>BACKFLOW PREVENTION AT KATE SMITH JUNIPER DUNCAN &amp; WARNER ELEMENTARY SCHOOLS</t>
  </si>
  <si>
    <t>EU-2010-416</t>
  </si>
  <si>
    <t>JB ENTERPRISES INC</t>
  </si>
  <si>
    <t>FOOTBALL FIELD SYNTHETIC TRUF &amp; TRACK EUREKA HS</t>
  </si>
  <si>
    <t>WP-2010-417</t>
  </si>
  <si>
    <t>AVENUE C WATER</t>
  </si>
  <si>
    <t>EL-2010-418</t>
  </si>
  <si>
    <t>NEVADA DIV OF STATE PARKS</t>
  </si>
  <si>
    <t>WEST SHORE BOAT RAMP &amp; IMPROVEMENTS</t>
  </si>
  <si>
    <t>WA-2010-419</t>
  </si>
  <si>
    <t>MOGUL FLUME JUNCTIONS 1,2 &amp; 3 REMOVAL DRAINAGE</t>
  </si>
  <si>
    <t>WA-2010-420</t>
  </si>
  <si>
    <t>DIGESTER #4 FLOATING COVER RENOVATION</t>
  </si>
  <si>
    <t>wl-2010-421</t>
  </si>
  <si>
    <t>QUASI-MUNICIPAL WELL #2 REPLACEMENT</t>
  </si>
  <si>
    <t>PE-2010-422</t>
  </si>
  <si>
    <t>PERSHING CO WATER CONSERVATION DISTRICT</t>
  </si>
  <si>
    <t>THACKER DAM &amp; PITT-TAYLOR CANA IMPROVEMENTS</t>
  </si>
  <si>
    <t>WA-2010-423</t>
  </si>
  <si>
    <t>CAMPUS GENERAL ELECTRICAL PARKING COMPLEXES LIGHTING RETROFIT</t>
  </si>
  <si>
    <t>EL-2010-424</t>
  </si>
  <si>
    <t>COLLEGE PARKWAY WATER MAIN EXTENSION</t>
  </si>
  <si>
    <t>CC-2010-425</t>
  </si>
  <si>
    <t>PALMETTO CONSTRUCTIN INC</t>
  </si>
  <si>
    <t>REPLACE FLOORING NORTHERN NEVADA CORREDCTION CENTER REGIONAL MEDICAL MEDICAL FACILITY</t>
  </si>
  <si>
    <t>EL-2010-426</t>
  </si>
  <si>
    <t>DELTA FIRE SYSTEM</t>
  </si>
  <si>
    <t>NEVADA YOUTH TRAINING CENTER DORM FIRE SPRINKLER INSTAL</t>
  </si>
  <si>
    <t>WA-2010-427</t>
  </si>
  <si>
    <t>HARRY REID ENGINEERING LAB EARTHQUAKE LAB EXPANSION PHS 1</t>
  </si>
  <si>
    <t>CH-2010-428</t>
  </si>
  <si>
    <t>NEW EQUIPMENT PARKING AREA ARMORY</t>
  </si>
  <si>
    <t>WA-2010-429</t>
  </si>
  <si>
    <t>CITY OF RENO 2011 UNIT 1 MAIN REPLACEMENT</t>
  </si>
  <si>
    <t>EU-2010-430</t>
  </si>
  <si>
    <t>EUREKA COUNTY SCHOOL DIST</t>
  </si>
  <si>
    <t>SOLAR PROJECT NOT ARRA OR STIMULUS</t>
  </si>
  <si>
    <t>WA-2010-431</t>
  </si>
  <si>
    <t>CASSINELLI LANDSCAPING/UNDER 100,000</t>
  </si>
  <si>
    <t xml:space="preserve">AGRICULTURE HEADQUARTERS &amp; LAB BUILDING INTERIOR REMODELING </t>
  </si>
  <si>
    <t>EL-2010-432</t>
  </si>
  <si>
    <t>REPLACE HOT WATER STORAGE TANKS NV STATE YOUTH TRAINING CENTER</t>
  </si>
  <si>
    <t>EL-2010-433</t>
  </si>
  <si>
    <t>WRF BIOSOLIDS DRYING BED</t>
  </si>
  <si>
    <t>WA-2010-434</t>
  </si>
  <si>
    <t>PHOTOVOLTAIC POWER INSTALL</t>
  </si>
  <si>
    <t>WA-2010-435</t>
  </si>
  <si>
    <t>WA-2010-436</t>
  </si>
  <si>
    <t>WA-2010-437</t>
  </si>
  <si>
    <t>BRIAN WHALEN PARKING COMPLES RE COAT UPPER DECK</t>
  </si>
  <si>
    <t>LA-2010-438</t>
  </si>
  <si>
    <t>WILSON ST WATER &amp; SEWER REPLACEMENT</t>
  </si>
  <si>
    <t>LA-2010-439</t>
  </si>
  <si>
    <t>CASHMAN LIFT STATION RECONSTRUCTION</t>
  </si>
  <si>
    <t>CC-2010-440</t>
  </si>
  <si>
    <t>STATE OF NEVADA PURCHASING DIVISION</t>
  </si>
  <si>
    <t>PROVIDE &amp; INSTALL BAY DOOORS FOR NATIONAL GUARD</t>
  </si>
  <si>
    <t>CC-2010-441</t>
  </si>
  <si>
    <t>RAY HEATING PRODUCTS</t>
  </si>
  <si>
    <t>MECHANICAL SYSTEM RETROFIT FOR NV ARMY NATIONAL GUARD-OTAG BUILDING</t>
  </si>
  <si>
    <t>CC-2010-442</t>
  </si>
  <si>
    <t>FULSTONE WETLANDS ENHANCEMENT-SO ACCESS NORTHRIDGE</t>
  </si>
  <si>
    <t>WA-2010-443</t>
  </si>
  <si>
    <t>PHOTOVOLTAIC POWER INSTALL HALL ELEMENTARY SCHOOL</t>
  </si>
  <si>
    <t>WA-2010-444</t>
  </si>
  <si>
    <t>PHOTOVOLTAIC POWER INSTALL SEPULVEDA ELEM SCHOOL</t>
  </si>
  <si>
    <t>CH-2010-445</t>
  </si>
  <si>
    <t>SURFACE TREATMENT OF VARIOUS STREETS 2010</t>
  </si>
  <si>
    <t>WA-2010-446</t>
  </si>
  <si>
    <t>MALDONADO PARK VISTA SWALES-PHASE 2</t>
  </si>
  <si>
    <t>WA-2010-447</t>
  </si>
  <si>
    <t>WEST COAST CONTRACTORS OF NEVADA</t>
  </si>
  <si>
    <t>DRI CAVE FACILITY SITE PACKAGE</t>
  </si>
  <si>
    <t>EL-2010-448</t>
  </si>
  <si>
    <t>WA-2010-449</t>
  </si>
  <si>
    <t>WASHOE CO BOARD OF COUNTY COMMISSIONERS</t>
  </si>
  <si>
    <t>ARROW CREEK FIRE REHABILITATION</t>
  </si>
  <si>
    <t>WA-2010-450</t>
  </si>
  <si>
    <t>BELLI FIRE REHABILITATION</t>
  </si>
  <si>
    <t>WA-2010-451</t>
  </si>
  <si>
    <t>MARTIS FIRE RAHABILITATION</t>
  </si>
  <si>
    <t>WA-2010-452</t>
  </si>
  <si>
    <t>BOARD OF REGENTS/ NSHE</t>
  </si>
  <si>
    <t>RENEWABLE ENERGY EXPERIMENTAL FACILITY (Reef)</t>
  </si>
  <si>
    <t>WA-2010-453</t>
  </si>
  <si>
    <t>PHOTOVOLTAIC POWER INSTALL SHAW MIDDLE SCHOOL</t>
  </si>
  <si>
    <t>WA-2010-454</t>
  </si>
  <si>
    <t>PHOTOVOLTAIC POWER INSTALL COLD SPRINGS MIDDLE SCHOOL</t>
  </si>
  <si>
    <t>WA-2010-455</t>
  </si>
  <si>
    <t>PHOTOVOLTAIC POWER INSTALL/MENDIVE MIDDLE SCHOOL</t>
  </si>
  <si>
    <t>EL-2010-456</t>
  </si>
  <si>
    <t>NV YOUTH TRAINING CENTER ELECTRICAL SERVICE UPGRADE</t>
  </si>
  <si>
    <t>WA-2010-457</t>
  </si>
  <si>
    <t>2010 SLURRY SEAL THRU JOINDER WITH CITY OF RENO</t>
  </si>
  <si>
    <t>LY-2010-458</t>
  </si>
  <si>
    <t>SANTA MARIA RIVER PARK</t>
  </si>
  <si>
    <t>WA-2010-459</t>
  </si>
  <si>
    <t>RTC RAPID MEADOWOOD MALL BUS TRANSIT STATION  IMPROVEMENTS</t>
  </si>
  <si>
    <t>LY-2010-460</t>
  </si>
  <si>
    <t xml:space="preserve">MASON VALLEY SWIMMING POOL </t>
  </si>
  <si>
    <t>POOL REHABILITATION- MASON VALLEY POOL</t>
  </si>
  <si>
    <t>WP-2010-461</t>
  </si>
  <si>
    <t>ELY ARMORY RE-ROOF</t>
  </si>
  <si>
    <t>CC-2010-462</t>
  </si>
  <si>
    <t>CARSON CITY PURCHASING &amp; CONTRACTS</t>
  </si>
  <si>
    <t>CARSON CITY COMMUNITY CENTER ASBESTOS ABATEMENT</t>
  </si>
  <si>
    <t>WA-2010-463</t>
  </si>
  <si>
    <t>REVITALIZATION OF ANDERSON ELEEMNTARY PHS 1 &amp; PHS 2</t>
  </si>
  <si>
    <t>YEAR 2011</t>
  </si>
  <si>
    <t>WA-2011-01</t>
  </si>
  <si>
    <t>LEMMON DR PEDESTRIAN PATH CMAQ PHASE 2</t>
  </si>
  <si>
    <t>WA-2011-02</t>
  </si>
  <si>
    <t>WASHOE CO DPT OF WATER RESOURCES</t>
  </si>
  <si>
    <t>DESERT SPRING BLENDING-PHASE 2 SPANISH SPRINGS</t>
  </si>
  <si>
    <t>WA-2011-03</t>
  </si>
  <si>
    <t>JOT TRAVIS BLDG OVERLOOK INTERIOR REMODEL</t>
  </si>
  <si>
    <t>WA-2011-04</t>
  </si>
  <si>
    <t>SOUND INSULATION PROGRAM PHASES 18.5</t>
  </si>
  <si>
    <t>EU-2011-05</t>
  </si>
  <si>
    <t>DEVILS GATE DISTRICTS 1 &amp; 2 WATER TRANSMISSION MAIN &amp; WATER STORAGE TANK</t>
  </si>
  <si>
    <t>DO-2011-06</t>
  </si>
  <si>
    <t>2010 BUCKEYE RD HEYBOURNE RD TO VIRGINIA DITCH</t>
  </si>
  <si>
    <t>WA-2011-07</t>
  </si>
  <si>
    <t>2011 NEIGHBORHOOD STREET REHAB PROGRAM UNIT 1</t>
  </si>
  <si>
    <t>WA-2011-08</t>
  </si>
  <si>
    <t>2011 NEIGHBORHOOD STREET REHAB PROGRAM UNIT 2</t>
  </si>
  <si>
    <t>WA-2011-09</t>
  </si>
  <si>
    <t>2011 NEIGHBORHOOD STREET REHAB PROGARM UNIT 3</t>
  </si>
  <si>
    <t>WA-2011-10</t>
  </si>
  <si>
    <t>OXBOW PARK BOARDWALK RESTORATION</t>
  </si>
  <si>
    <t>WASHOE CO WATER RESOURCES</t>
  </si>
  <si>
    <t>DOJACK WAY WATER MAIN REPLACEMENT</t>
  </si>
  <si>
    <t>WA-2011-12</t>
  </si>
  <si>
    <t>EL-2011-13</t>
  </si>
  <si>
    <t>JACKPOT WATER SYSTEM IMPROVEMENTS PHASE II</t>
  </si>
  <si>
    <t>USDA</t>
  </si>
  <si>
    <t>DO-2011-14</t>
  </si>
  <si>
    <t xml:space="preserve">NORTH DOUGLAS COUNTY CARSON CITY WATER LINE INTER-TIE </t>
  </si>
  <si>
    <t>LY-2011-15</t>
  </si>
  <si>
    <t>ARMY CORE</t>
  </si>
  <si>
    <t>EL-2011-16</t>
  </si>
  <si>
    <t>ELKO COUNTY SCHOOL DIST</t>
  </si>
  <si>
    <t xml:space="preserve">ADOBE MIDDLE SCHOOL 13K W PHOTOVOLTAIC </t>
  </si>
  <si>
    <t>LY-2011-17</t>
  </si>
  <si>
    <t>LYON CO UTILITIES</t>
  </si>
  <si>
    <t>LYON COUNTY UTILITIES MAINTENANCE BUILDING</t>
  </si>
  <si>
    <t>WA-2011-18</t>
  </si>
  <si>
    <t>2010-2011 FLEISCH FLUME REHABILITATION</t>
  </si>
  <si>
    <t>WA-2011-19</t>
  </si>
  <si>
    <t>MCQUEEN HIGH FOOTBALL BLEACHER MODIFICATIONS</t>
  </si>
  <si>
    <t>WA-2011-20</t>
  </si>
  <si>
    <t>GALENA HIGH FOOTBALL BLEACHER MODIFICATIONS</t>
  </si>
  <si>
    <t>WA-2011-21</t>
  </si>
  <si>
    <t>REED HIGH FOOTBALL BEACHER MODIFICATIONS</t>
  </si>
  <si>
    <t>DO-2011-22</t>
  </si>
  <si>
    <t>CARSON VALLEY GOLF COURSE STEAM BANK</t>
  </si>
  <si>
    <t>Year 2009</t>
  </si>
  <si>
    <t>2009 Total North Public Works Projects</t>
  </si>
  <si>
    <t>2010 Total North Public Works Projects</t>
  </si>
  <si>
    <t>2011 Total North Public Works Projects</t>
  </si>
  <si>
    <t>note as of 10.21.2010</t>
  </si>
  <si>
    <t>NV Local 549</t>
  </si>
  <si>
    <t>NV Local 13</t>
  </si>
  <si>
    <t>NV Local 797</t>
  </si>
  <si>
    <t>IBEW Local 401</t>
  </si>
  <si>
    <t>IBEW 401 &amp; 1245</t>
  </si>
  <si>
    <t>Elev Local 8</t>
  </si>
  <si>
    <t>Laborers Local 169</t>
  </si>
  <si>
    <t>Painters 567</t>
  </si>
  <si>
    <t>HERBACK GENERAL ENGINEERING</t>
  </si>
  <si>
    <t>H E HUNEWILL CO LTD</t>
  </si>
  <si>
    <t>EL-2009-46</t>
  </si>
  <si>
    <t>ELKO CO SCHOOL DISTRICT</t>
  </si>
  <si>
    <t>MICHAEL CLAY CORP</t>
  </si>
  <si>
    <t>SPRING CREEK HIGH SCHOOL VALLEY ROOF REPAIR</t>
  </si>
  <si>
    <t>ISBELL CONSTRUCTION INC</t>
  </si>
  <si>
    <t>A &amp; K EARTHMOVERS</t>
  </si>
  <si>
    <t>HUMBOLDT DRILLING &amp; PUMP CO INC</t>
  </si>
  <si>
    <t>NEVADA STATE PARKS</t>
  </si>
  <si>
    <t>STAGECOACH GID</t>
  </si>
  <si>
    <t>KINGSBURY GID</t>
  </si>
  <si>
    <t>RENO-TAHOE AIRPORT AUTHORITY</t>
  </si>
  <si>
    <t>WA-2009-73</t>
  </si>
  <si>
    <t>ACADEMY OF ARTS &amp; CAREER TECHNOLOGY ADDITION</t>
  </si>
  <si>
    <t>WA-2009-75</t>
  </si>
  <si>
    <t>CMPS GEN PAVING REPAVE W STDM</t>
  </si>
  <si>
    <t>CITY OF ELKO</t>
  </si>
  <si>
    <t>F EVANS CONSTRUCTION INC</t>
  </si>
  <si>
    <t>WA-2009-82</t>
  </si>
  <si>
    <t>TRUCKEE MEADOWS CONSTRUCTION</t>
  </si>
  <si>
    <t>VOCATIONAL ARTS TRAINING BLDG</t>
  </si>
  <si>
    <t>WA-2009-89</t>
  </si>
  <si>
    <t>SONITROL OF SOUTHERN NEVADA</t>
  </si>
  <si>
    <t>CCTB SECURITY INSTALLS-REED HI SCL</t>
  </si>
  <si>
    <t>WA-2009-90</t>
  </si>
  <si>
    <t>MT ROSE HEATING &amp; AIR</t>
  </si>
  <si>
    <t>MCQUEEN HI SCHL HVAC REPLCMNT</t>
  </si>
  <si>
    <t>WA-2009-91</t>
  </si>
  <si>
    <t>K7 CONSTRUCTION INC</t>
  </si>
  <si>
    <t>VETERANS MEMORIAL ELEM SCL REVITILAZATION</t>
  </si>
  <si>
    <t>EL-2009-93</t>
  </si>
  <si>
    <t>GREAT BASIN COLLEGE</t>
  </si>
  <si>
    <t>GBC COMMUNITY CENTER REMODEL</t>
  </si>
  <si>
    <t>MARV MCQUEARY EXCAVATING INC</t>
  </si>
  <si>
    <t>WA-2009-99</t>
  </si>
  <si>
    <t>RE PAVE LODER ES</t>
  </si>
  <si>
    <t>WA-2009-100</t>
  </si>
  <si>
    <t>see Public Works Projects Tab for Total Dollar Amount</t>
  </si>
  <si>
    <t>CANCELED 03/11/09 COMBINED W 9 -100</t>
  </si>
  <si>
    <t>INFRSTRCTR UPGRD WINNEMUCCA ES</t>
  </si>
  <si>
    <t>WA-2009-102</t>
  </si>
  <si>
    <t>CANCELED 03/11/09/COMBND W 9-100</t>
  </si>
  <si>
    <t>INFRSTRCTR UPGRD WAMER ES</t>
  </si>
  <si>
    <t>DO-2009-103</t>
  </si>
  <si>
    <t>DOUGLAS CO SCHOOL DIST</t>
  </si>
  <si>
    <t>GWHS GYMNASIUM ADDITION</t>
  </si>
  <si>
    <t>ADVANCE INSTALLATIONS INC</t>
  </si>
  <si>
    <t>IMPACT CONSTRUCTION</t>
  </si>
  <si>
    <t>WA-2009-107</t>
  </si>
  <si>
    <t>BT MANCINI/UNDER 100,000</t>
  </si>
  <si>
    <t>NEW FLOORING-DRAKE ELEMENTARY</t>
  </si>
  <si>
    <t>WA-2009-108</t>
  </si>
  <si>
    <t>CANCELED 03/010/09UNDER 100,000</t>
  </si>
  <si>
    <t xml:space="preserve">SECURITY TV INSTALLS GRP 2-GALENA </t>
  </si>
  <si>
    <t>WA-2009-109</t>
  </si>
  <si>
    <t>PINECREST CONSTRUCTION</t>
  </si>
  <si>
    <t>SCRUGHAM ENGNRNG BLDG RM 117</t>
  </si>
  <si>
    <t>QUANTUM ELECTRIC LLC</t>
  </si>
  <si>
    <t>TOWN OF MINDEN</t>
  </si>
  <si>
    <t>EUREKA CO PUBLIC WORKS</t>
  </si>
  <si>
    <t>HE HUNEWILL CONSTRUCTION</t>
  </si>
  <si>
    <t>EL-2009-115</t>
  </si>
  <si>
    <t>CANCELED 3/11/09</t>
  </si>
  <si>
    <t>W WNDVR ELMNTRY MDLR UNT 5 ADA</t>
  </si>
  <si>
    <t>WA-2009-118</t>
  </si>
  <si>
    <t>CANCELED 03/11/09/UNDER 100,000</t>
  </si>
  <si>
    <t>REPLC FIRE ALARM SYS GRP 1</t>
  </si>
  <si>
    <t>WA-2009-119</t>
  </si>
  <si>
    <t>NELSON ELECTRIC CO</t>
  </si>
  <si>
    <t>REPLC FIRE ALARM SYS GRP 2</t>
  </si>
  <si>
    <t>HAWTHORNE UTILITIES</t>
  </si>
  <si>
    <t>TBA</t>
  </si>
  <si>
    <t>CITY OF FALLON</t>
  </si>
  <si>
    <t>CRUZ CONSTRUCTION</t>
  </si>
  <si>
    <t>BISON CONSTRUCTION</t>
  </si>
  <si>
    <t>EL-2009-133</t>
  </si>
  <si>
    <t>ELKO HI SCHOOL ADA UPGRADE</t>
  </si>
  <si>
    <t>WA-2009-135</t>
  </si>
  <si>
    <t>FLEISCHMANN AG BLDG RMS 243/245</t>
  </si>
  <si>
    <t>INCLINE VILLAGE GID</t>
  </si>
  <si>
    <t>RATTLESNAKE HILL WATER TANK</t>
  </si>
  <si>
    <t>EL-2009-147</t>
  </si>
  <si>
    <t>JACKPOT SCHOOL REMODEL</t>
  </si>
  <si>
    <t>EL-2009-148</t>
  </si>
  <si>
    <t>CARLIN SCHOOL REMODEL</t>
  </si>
  <si>
    <t>BIG G CONSTRUCTION</t>
  </si>
  <si>
    <t>RHP MECHANICAL SYS/UNDER 100,000</t>
  </si>
  <si>
    <t>WA-2009-153</t>
  </si>
  <si>
    <t>INFRSTRCTR UPGRD ECHO LODER</t>
  </si>
  <si>
    <t>WA-2009-154</t>
  </si>
  <si>
    <t>CMPS GN ADA MACKAY STADM E SIDE</t>
  </si>
  <si>
    <t>WA-2009-160</t>
  </si>
  <si>
    <t>PERMIAN BUILDERS LLC</t>
  </si>
  <si>
    <t>NEW FLRING THROUT INCLINE  MDL SCH</t>
  </si>
  <si>
    <t>WA-2009-161</t>
  </si>
  <si>
    <t>BURDICK EXCAVATING CO INC</t>
  </si>
  <si>
    <t>CRYSTAL BAY PHS 1B &amp;11A WTR IMPRV</t>
  </si>
  <si>
    <t>NV DIV OF STATE PARKS</t>
  </si>
  <si>
    <t>WA-2009-165</t>
  </si>
  <si>
    <t>PENTA BUILDING GROUP</t>
  </si>
  <si>
    <t>JOE CRAWLY NEW SPORTS GRILLE</t>
  </si>
  <si>
    <t>CITY OF WELLS</t>
  </si>
  <si>
    <t>WA-2009-169</t>
  </si>
  <si>
    <t>TNT CONSTRUCTION</t>
  </si>
  <si>
    <t>SOUND INSULATION IMPROVMENTS RESDNL HMS</t>
  </si>
  <si>
    <t>WA-2009-174</t>
  </si>
  <si>
    <t>VIRGINIA ST GYM RM 21 USAC REMDL</t>
  </si>
  <si>
    <t>WA-2009-177</t>
  </si>
  <si>
    <t>CANCELED 6/3/09</t>
  </si>
  <si>
    <t>ADA RESTROOM UPGRADES</t>
  </si>
  <si>
    <t>WA-2009-178</t>
  </si>
  <si>
    <t>RE-PAVE CANNAN ELMTRY SCHOOL</t>
  </si>
  <si>
    <t>WA-2009-179</t>
  </si>
  <si>
    <t>CANCELED 06/03/09</t>
  </si>
  <si>
    <t>RE-PAVE TOWIES ELMTRY SCHOOL</t>
  </si>
  <si>
    <t>WA-2009-180</t>
  </si>
  <si>
    <t>GRADEX CONSTRUCTION</t>
  </si>
  <si>
    <t>RE-PAVE ALICE MAXWELL ELMT SCHL</t>
  </si>
  <si>
    <t>WA-2009-181</t>
  </si>
  <si>
    <t>HASCO INC</t>
  </si>
  <si>
    <t>REPLACE GYM BLEACHERS WOOSTER</t>
  </si>
  <si>
    <t>WA-2009-182</t>
  </si>
  <si>
    <t>REPLACE GYM BLEACHERS VAUGHN</t>
  </si>
  <si>
    <t>WA-2009-183</t>
  </si>
  <si>
    <t>03/04/09 UNDER 100,000</t>
  </si>
  <si>
    <t>REPLC GYM BLCHRS TRANER MDL SCL</t>
  </si>
  <si>
    <t>WA-2009-184</t>
  </si>
  <si>
    <t>REPLC GYM BLCHRS SPRKS MDL SCL</t>
  </si>
  <si>
    <t>WA-2009-185</t>
  </si>
  <si>
    <t>REPLC GYM BLCHRS SWOPE MDL SCL</t>
  </si>
  <si>
    <t>WA-2009-187</t>
  </si>
  <si>
    <t>KODIAK ROOFING &amp; WATERPROOFING</t>
  </si>
  <si>
    <t>RE-ROOF ROY GOMM ELMTRY SCHL</t>
  </si>
  <si>
    <t>WA-2009-188</t>
  </si>
  <si>
    <t>RE-ROOFJUNIPER ELMTRY SCHL</t>
  </si>
  <si>
    <t>WA-2009-189</t>
  </si>
  <si>
    <t>D &amp; D ROOFING</t>
  </si>
  <si>
    <t>RE-ROOF PLEASANT VALLEYY ELEMETARY SCHOOL</t>
  </si>
  <si>
    <t>WA-2009-190</t>
  </si>
  <si>
    <t>WESTERN SINGLE PLY</t>
  </si>
  <si>
    <t>RE-ROOF RENO HIGH SCHOOL</t>
  </si>
  <si>
    <t>WA-2009-193</t>
  </si>
  <si>
    <t>CCTV SECURITY INSTALLS</t>
  </si>
  <si>
    <t>WA-2009-194</t>
  </si>
  <si>
    <t>RE-PAVE INCLINE MIDDLE SCHOOL</t>
  </si>
  <si>
    <t>WA-2009-195</t>
  </si>
  <si>
    <t>CANCELED 06/04/09</t>
  </si>
  <si>
    <t>REPLC FIRE ALARM SYSTEMS GRP 2</t>
  </si>
  <si>
    <t>GERHARDT &amp; BERRY CONSTRUCTION</t>
  </si>
  <si>
    <t>WA-2009-206</t>
  </si>
  <si>
    <t>RE-ROOF AT WCSD ADMIN BLDG</t>
  </si>
  <si>
    <t>WA-2009-208</t>
  </si>
  <si>
    <t>CANCELED 05/27/09/UNDER 100,000</t>
  </si>
  <si>
    <t>RE-ROOF INCLINE HI SCHOOL</t>
  </si>
  <si>
    <t>CANCELED 05/27/09</t>
  </si>
  <si>
    <t>WA-2009-209</t>
  </si>
  <si>
    <t>RE-ROOF AT CLAYTON MIDDL SCHOOL</t>
  </si>
  <si>
    <t>RUBY DOME INC</t>
  </si>
  <si>
    <t>CARSON CITY AIRPORT AUTHORITY</t>
  </si>
  <si>
    <t>STATE OF NEVADA PURCHASING</t>
  </si>
  <si>
    <t>MULTIPLE PRIMES</t>
  </si>
  <si>
    <t>GARDNERVILLE RANCHOS GID</t>
  </si>
  <si>
    <t>CITY OF WINNEMUCCA</t>
  </si>
  <si>
    <t>EL-2009-227</t>
  </si>
  <si>
    <t>CONTINENTAL FLOORING CO</t>
  </si>
  <si>
    <t>SPRNG CRK HI SCHL HALWY FLR TILE</t>
  </si>
  <si>
    <t>WASHOE COUNTY RTC</t>
  </si>
  <si>
    <t>RENO TAHOE CONSTRUCTION</t>
  </si>
  <si>
    <t>LY-2009-244</t>
  </si>
  <si>
    <t>LYON CO SCHOOL DIST</t>
  </si>
  <si>
    <t xml:space="preserve">WNW CONSTRUCTION </t>
  </si>
  <si>
    <t>FERNLY H S LIFT STA REPLCMNT</t>
  </si>
  <si>
    <t>LY-2009-246</t>
  </si>
  <si>
    <t>LY CO SCHOOL DIST</t>
  </si>
  <si>
    <t>GRANIE CONSTRUCTION</t>
  </si>
  <si>
    <t>SYNTHETIC TURF SPORTS FIELDS</t>
  </si>
  <si>
    <t>WA-2009-250</t>
  </si>
  <si>
    <t>RHP MECHANICAL</t>
  </si>
  <si>
    <t>CMPUTR CNTR COOLING TWR RPLCMNT</t>
  </si>
  <si>
    <t>LY-2009-251</t>
  </si>
  <si>
    <t>DES BUILDING B RENOVATION</t>
  </si>
  <si>
    <t>LY-2009-252</t>
  </si>
  <si>
    <t>RAFAEL CONSTRUCTION INC</t>
  </si>
  <si>
    <t>FERNLEY INTERMEDIATE II</t>
  </si>
  <si>
    <t>LY-2009-256</t>
  </si>
  <si>
    <t>PHS II SITE IMPRVMNTS DAYTON HI</t>
  </si>
  <si>
    <t>WA-2009-262</t>
  </si>
  <si>
    <t>CLARK &amp; SULLIVAN CONSTRUCTION</t>
  </si>
  <si>
    <t>SCL MDCN HOWARD WTR LINE RPLC</t>
  </si>
  <si>
    <t>EL-2009-264</t>
  </si>
  <si>
    <t>CANCELED 5/27/09</t>
  </si>
  <si>
    <t>WELLS ELMNTRY KITCHEN REMODEL</t>
  </si>
  <si>
    <t>WA-2009-267</t>
  </si>
  <si>
    <t>INCLINE VILLAGE HI SCHOOLL EROSION CONTROL BMP</t>
  </si>
  <si>
    <t>CC-2009-268</t>
  </si>
  <si>
    <t>CARSON CITY SCHOOL DIST</t>
  </si>
  <si>
    <t>CARSON HI SCHOOL PRESS BOX</t>
  </si>
  <si>
    <t xml:space="preserve">DAVIS COMPANY CONTRACTORS     </t>
  </si>
  <si>
    <t>C-2009-268</t>
  </si>
  <si>
    <t>COMSTOCK DRYWALL</t>
  </si>
  <si>
    <t>INTERMOUNTAIN ELECTRIC INC</t>
  </si>
  <si>
    <t>NEWT CONCRETE CONSTRUCTION</t>
  </si>
  <si>
    <t>SUNRIDGE PAINTING</t>
  </si>
  <si>
    <t>ALCAL ARCADE CONTRACTING</t>
  </si>
  <si>
    <t>VALLEY DOOR WORKS</t>
  </si>
  <si>
    <t>BOART LONGYEAR</t>
  </si>
  <si>
    <t>WA-2009-283</t>
  </si>
  <si>
    <t>REVITALIZATION OF SCHOOL-LODER</t>
  </si>
  <si>
    <t>EL-2009-288</t>
  </si>
  <si>
    <t>ELKO HI SCHOOL DRAINAGE MITIGATION</t>
  </si>
  <si>
    <t>GERLACH GID</t>
  </si>
  <si>
    <t>GERLACH SEWER IMPROVEMENT</t>
  </si>
  <si>
    <t>WA-2009-294</t>
  </si>
  <si>
    <t>SUNDT CONSTRUCTION</t>
  </si>
  <si>
    <t>REVITALIZTN 4 ELEMNTRY SCHOOLS</t>
  </si>
  <si>
    <t>CARSON CITY</t>
  </si>
  <si>
    <t>MILES CONSTRUCTION</t>
  </si>
  <si>
    <t>LY-2009-301</t>
  </si>
  <si>
    <t>KING CONSTRUCTION/UNDER 100,000</t>
  </si>
  <si>
    <t>COTTONWOOD ELEM SCHL PRKNG LOT</t>
  </si>
  <si>
    <t>LY-2009-303</t>
  </si>
  <si>
    <t>HORIZON CONST/UNDER 100,000</t>
  </si>
  <si>
    <t>SUTRO ELMNTRY SCHOL PRKNG LOT</t>
  </si>
  <si>
    <t>WA-2009-307</t>
  </si>
  <si>
    <t>GARDNER ENGINEERING/UNDER 100,000</t>
  </si>
  <si>
    <t>CG MCHNCL E SIDE FSD HTHW PIPNG</t>
  </si>
  <si>
    <t>EL-2009-313</t>
  </si>
  <si>
    <t>CANYON CONSTRUCTION CO</t>
  </si>
  <si>
    <t>W WENDOVER ELMNTRY BUS LANE</t>
  </si>
  <si>
    <t>WA-2009-319</t>
  </si>
  <si>
    <t>MECHANICAL JOT TRAVIS BOILR-GNRTR</t>
  </si>
  <si>
    <t>DO-2009-320</t>
  </si>
  <si>
    <t>DESIGN-BUILD SOLUTIONS</t>
  </si>
  <si>
    <t>DOUGLAS HI SCHOOL RE-ROOF PHS 2</t>
  </si>
  <si>
    <t>CITY OF LOVELOCK</t>
  </si>
  <si>
    <t>PUBLIC SWIMMING POOL RENOVATIONS</t>
  </si>
  <si>
    <t>WA-2009-330</t>
  </si>
  <si>
    <t>F EVANS CONST</t>
  </si>
  <si>
    <t>SCRUGHAM ENGINEERING BLDG RM 123</t>
  </si>
  <si>
    <t>WA-2009-333</t>
  </si>
  <si>
    <t>F &amp; P CONSTRUCTION INC</t>
  </si>
  <si>
    <t>SIERRA VISTA DRAINAGE</t>
  </si>
  <si>
    <t>WA-2009-337</t>
  </si>
  <si>
    <t>NSHE/UNR-ICA</t>
  </si>
  <si>
    <t>CANCELED 12/30/09</t>
  </si>
  <si>
    <t>MACKAY STADUM FIELD TURF RPLCM</t>
  </si>
  <si>
    <t>EL-2009-339</t>
  </si>
  <si>
    <t>CANYON CONSTRUCTION</t>
  </si>
  <si>
    <t>CARLIN SCL CHESTNUT ST IMPRVMNTS</t>
  </si>
  <si>
    <t>CITY OF YERINGTON</t>
  </si>
  <si>
    <t>HORIZON CONSTRUCTION INC</t>
  </si>
  <si>
    <t>WA-2009-351</t>
  </si>
  <si>
    <t>CANCELED 10/01/09</t>
  </si>
  <si>
    <t>BACKFLOW RETROFIT AT 8 SITES</t>
  </si>
  <si>
    <t>HUMBOLDT CO HOSPITAL DIST</t>
  </si>
  <si>
    <t>FRANK LEPORI CONSTRUCTION</t>
  </si>
  <si>
    <t>DO-2009-366</t>
  </si>
  <si>
    <t>CANCELED 08/18/2009</t>
  </si>
  <si>
    <t>PINION HILLS MDULR CLSRM ADDITION</t>
  </si>
  <si>
    <t>RELIANT ELECTRIC</t>
  </si>
  <si>
    <t>WA-2009-369</t>
  </si>
  <si>
    <t>LIGH TAC INC</t>
  </si>
  <si>
    <t>LIGHTING UPGRADES AT 5 SITES</t>
  </si>
  <si>
    <t>STMGID WELL 12 CONSTRUCTION</t>
  </si>
  <si>
    <t>CC-2009-374</t>
  </si>
  <si>
    <t>CC SCHOOL DIST</t>
  </si>
  <si>
    <t>CC HI SCHL MULTI PURPOSE FACILITY PAVING</t>
  </si>
  <si>
    <t>CRUZ CONSTRUCTION CO INC</t>
  </si>
  <si>
    <t>WA-2009-375</t>
  </si>
  <si>
    <t>JW MCCLENAHAN CO</t>
  </si>
  <si>
    <t>MITCHELL BOILER REPLACEMENT</t>
  </si>
  <si>
    <t>EL-2009-376</t>
  </si>
  <si>
    <t>CANCELED 10/28/09</t>
  </si>
  <si>
    <t>850 ELM ST REMODEL-ELKO</t>
  </si>
  <si>
    <t>MCDERMITT SEWER DIST</t>
  </si>
  <si>
    <t>HOLCOMB AVE RECONSTRUCTION</t>
  </si>
  <si>
    <t>EL-2009-385</t>
  </si>
  <si>
    <t>ELKO HIGH SCHOOL COLLEGE AVE IMPROVEMENTS</t>
  </si>
  <si>
    <t>LYON COUNTY</t>
  </si>
  <si>
    <t>WA-2009-391</t>
  </si>
  <si>
    <t>CANCELED 10/27/09</t>
  </si>
  <si>
    <t>SPARKS &amp; GALENA WELDING SHOP VENTILATION IMPRVMNTS</t>
  </si>
  <si>
    <t>N/A</t>
  </si>
  <si>
    <t>HU-2009-399</t>
  </si>
  <si>
    <t>HUMBOLDT CO SCHOOL DIST</t>
  </si>
  <si>
    <t>GENERAL REHAB &amp; REFURBISHING VARIOUS SCHOOL SITES</t>
  </si>
  <si>
    <t>DESERT FIRE PROTECTION</t>
  </si>
  <si>
    <t>FAST GLASS</t>
  </si>
  <si>
    <t>MARCOR ENVIRONMENTAL</t>
  </si>
  <si>
    <t>RICKS FLOORING</t>
  </si>
  <si>
    <t>CR DRAKE &amp; SONS ELECTRICAL</t>
  </si>
  <si>
    <t>INSULPRO PROJECTS</t>
  </si>
  <si>
    <t>RAY KELLER CONSTRUCTION</t>
  </si>
  <si>
    <t>TALLMAN LUMBER CO</t>
  </si>
  <si>
    <t>WN SALES</t>
  </si>
  <si>
    <t>CB BROWN CO</t>
  </si>
  <si>
    <t>INNOVATIVE COMMUNICATION SYSTEMS</t>
  </si>
  <si>
    <t>PE-2009-400</t>
  </si>
  <si>
    <t>ALPINE ROOFING</t>
  </si>
  <si>
    <t>HSP PAINTING</t>
  </si>
  <si>
    <t>RENO CONCRETE</t>
  </si>
  <si>
    <t>FRANK EVANS CONSTRUCTION</t>
  </si>
  <si>
    <t>12/0/2008</t>
  </si>
  <si>
    <t>LY-2010-1</t>
  </si>
  <si>
    <t>CAMPBELL CONSTRUCTION</t>
  </si>
  <si>
    <t>YERINGTON WATER &amp; SEWER IMPROVEMTNS PHS 3/ARRA</t>
  </si>
  <si>
    <t>LY-2010-2</t>
  </si>
  <si>
    <t>Q &amp; D CONSTRUCTION</t>
  </si>
  <si>
    <t>SSWC WATER TREATMANT PLANT/ARRA</t>
  </si>
  <si>
    <t>DO-2010-3</t>
  </si>
  <si>
    <t>DOUGLAS COUNTY BOARD</t>
  </si>
  <si>
    <t>CITY WATER &amp; SEWER IMPRVMNTS</t>
  </si>
  <si>
    <t>WA-2010-4</t>
  </si>
  <si>
    <t>GRANITE CONSTRUCTION</t>
  </si>
  <si>
    <t>2010 NEIGHBORHOOD ST REHABILITATION UNIT 1</t>
  </si>
  <si>
    <t>WA-2010-5</t>
  </si>
  <si>
    <t>2010 NEIGHBORHOOD ST REHABILITATION UNIT 2</t>
  </si>
  <si>
    <t>WA-2010-6</t>
  </si>
  <si>
    <t>SPANISH SPRINGS CONSTRUCTION</t>
  </si>
  <si>
    <t>2010 NEIGHBORHOOD ST REHABILITATION UNIT 3</t>
  </si>
  <si>
    <t>ST-2010-7</t>
  </si>
  <si>
    <t>SOUTHERN NV WATER AUTHORITY</t>
  </si>
  <si>
    <t>INTERBASIN STIPULATION WELLS Spring, Hamlin, Dry Lake Delamare</t>
  </si>
  <si>
    <t>ST-2010-8</t>
  </si>
  <si>
    <t>STOREY COUNTY</t>
  </si>
  <si>
    <t>STOREY COUNTY JAIL FACILITY/EARTHWORKS $500,000/ARRA</t>
  </si>
  <si>
    <t>WA-2010-9</t>
  </si>
  <si>
    <t>ATLAS  CONTRACTORS INC</t>
  </si>
  <si>
    <t>VISTA BLVD AT BARING BLVD INTERSECTION</t>
  </si>
  <si>
    <t>WA-2010-10</t>
  </si>
  <si>
    <t>VETERANS PKWY AT GEIGER GRADE INTERSECTION</t>
  </si>
  <si>
    <t>WA-2010-11</t>
  </si>
  <si>
    <t>PLUMB LANE AT HARVARD WAY INTERSECTION</t>
  </si>
  <si>
    <t>PE-2010-12</t>
  </si>
  <si>
    <t>PERSHING CO WATER CONSERVATN</t>
  </si>
  <si>
    <t>THACKER DAM RECONSTRUCTION</t>
  </si>
  <si>
    <t>CH-2010-13</t>
  </si>
  <si>
    <t>D &amp; D ROOFING/UNDER 100,000</t>
  </si>
  <si>
    <t>FALLON ARMORY RE-ROOF</t>
  </si>
  <si>
    <t>HU-2010-14</t>
  </si>
  <si>
    <t>KODIAK ROOFING/UNDER 100,000</t>
  </si>
  <si>
    <t>WINNEMUCCA ARMORY RE-ROOF</t>
  </si>
  <si>
    <t>WA-2010-15</t>
  </si>
  <si>
    <t>SUNDT CONSTRUCTION INC</t>
  </si>
  <si>
    <t>MEDICAL EDUCATION LEARNING LAB BUILDING</t>
  </si>
  <si>
    <t>WA-2010-16</t>
  </si>
  <si>
    <t>SO CARSON ST/EAGLE STATION LANE TRAFFIC SIGNAL INSTALL</t>
  </si>
  <si>
    <t>WA-2010-17</t>
  </si>
  <si>
    <t>BOARD OF REGENTS UNR</t>
  </si>
  <si>
    <t>J F DUNCAN INDUSTRIES</t>
  </si>
  <si>
    <t>FOOD SERVICE EQUIPMENT</t>
  </si>
  <si>
    <t>EL-2010-18</t>
  </si>
  <si>
    <t>MGM CONSTRUCTION</t>
  </si>
  <si>
    <t>TUSCARORA COMMUNITY CENTER REHAB-PHASE IV</t>
  </si>
  <si>
    <t>EL-2010-19</t>
  </si>
  <si>
    <t>FAMILY CAMPGOUND IMPROVEMENTS</t>
  </si>
  <si>
    <t>WA-2010-20</t>
  </si>
  <si>
    <t>EAST 4TH STREET ENHANCEMENT</t>
  </si>
  <si>
    <t>EL-2010-21</t>
  </si>
  <si>
    <t>NSHE BOARD OF REGEANTS</t>
  </si>
  <si>
    <t>HIGH MARK CONSTRUCTION</t>
  </si>
  <si>
    <t>PROP PAD REPAIR FIRE SCIENCE ACADEMY, ELKO</t>
  </si>
  <si>
    <t>CH-2010-22</t>
  </si>
  <si>
    <t>CHURCHILL CO SCHOOL DIST</t>
  </si>
  <si>
    <t>D &amp; D ROOFING/UNDER /UNDER 100,000</t>
  </si>
  <si>
    <t>DESIGN-BUILD BOILER SYSTEM UPGRADE</t>
  </si>
  <si>
    <t>WA-2010-23</t>
  </si>
  <si>
    <t xml:space="preserve">BRIGGS ELECTRIC INC/UNDER 100,000 </t>
  </si>
  <si>
    <t>STANDBY GENERATOR INSTALLATION</t>
  </si>
  <si>
    <t>WA-2010-24</t>
  </si>
  <si>
    <t>DELAYED SEE WA-2011-10</t>
  </si>
  <si>
    <t>OXBOW NATURE STUDY BOARDWALK RESTORATION</t>
  </si>
  <si>
    <t>00/18/09</t>
  </si>
  <si>
    <t>WA-2010-25</t>
  </si>
  <si>
    <t>WASHOE CO PUBLIC WORKS</t>
  </si>
  <si>
    <t>5TH AVE PEDESTRIAN PATH CMAQ PROJECT</t>
  </si>
  <si>
    <t>EL-2010-26</t>
  </si>
  <si>
    <t>GERBER CONSTRUCTION</t>
  </si>
  <si>
    <t>WATER RECLAMATION FACILITY EXPANSION &amp; PS I HEADWORKS</t>
  </si>
  <si>
    <t>LY-2010-27</t>
  </si>
  <si>
    <t>A&amp;K EARTHMOVERS</t>
  </si>
  <si>
    <t>HIGHWAY 50 LIFT STATION &amp; FORCE MAIN REPLACEMENT</t>
  </si>
  <si>
    <t>CH-2010-28</t>
  </si>
  <si>
    <t>SIERRA NEVADA CONSTRUCTION</t>
  </si>
  <si>
    <t>EL-2010-29</t>
  </si>
  <si>
    <t>STEEL SYSTEMS INC</t>
  </si>
  <si>
    <t>CITY OF WELLS, PUBLIC WORKS BUILDING</t>
  </si>
  <si>
    <t>WP-2010-30</t>
  </si>
  <si>
    <t>NELSON ELECTRIC/UNDER 100,000</t>
  </si>
  <si>
    <t>FIRE &amp; SECURITY ALARM SYSTEM RETROFIT</t>
  </si>
  <si>
    <t>CH-2010-31</t>
  </si>
  <si>
    <t>RATTLESNAKE HILL &amp; RIO VISTA PIPELINE</t>
  </si>
  <si>
    <t>WP-2010-32</t>
  </si>
  <si>
    <t>WHITE PINE CO COMMISSION</t>
  </si>
  <si>
    <t>CG&amp;B ENTERPRISES INC</t>
  </si>
  <si>
    <t>WHITE PINE CO EMERGENCY OPERATIONS CENTER</t>
  </si>
  <si>
    <t>WA-2010-33</t>
  </si>
  <si>
    <t>NEW AV PACKAGE MULTI PURPOSE RM #104 DEPT OF AGRICULTR</t>
  </si>
  <si>
    <t>CH-2010-34</t>
  </si>
  <si>
    <t>CANCELED SEE CH-2010.-53 DUPLICATE</t>
  </si>
  <si>
    <t>30 KW A/C MOODY EXPANSION</t>
  </si>
  <si>
    <t>WA-2010-35</t>
  </si>
  <si>
    <t xml:space="preserve">EMPIRE CONTRACTORS/UNDER 100,000 </t>
  </si>
  <si>
    <t>1212 VICTORIAN AVE (SIMONS BUILDING) DEMOLITION</t>
  </si>
  <si>
    <t>HU-2010-36</t>
  </si>
  <si>
    <t>LINING OF TREATMENT POND A &amp; INSTALL OF BAFFLE CURTAIN</t>
  </si>
  <si>
    <t>LA-2010-37</t>
  </si>
  <si>
    <t xml:space="preserve">LANDER CO SEWER &amp; WATR DIST 2 </t>
  </si>
  <si>
    <t>VALLEY UNDERGROUND INC</t>
  </si>
  <si>
    <t>AUSTIN WASTWATER TREATMENT FACILITY (AARA)</t>
  </si>
  <si>
    <t>DO-2010-38</t>
  </si>
  <si>
    <t>PEEK CONSTRUCTION CO</t>
  </si>
  <si>
    <t>BOWLES LANE WATERLINE REPLACEMENT</t>
  </si>
  <si>
    <t>WA-2010-39</t>
  </si>
  <si>
    <t>PRESENTATION PRODUCTS DBA SPINITAR</t>
  </si>
  <si>
    <t>DAVIDSON MATH &amp; SCIENCE CNTR AUDIO/VISUAL PACKAGE</t>
  </si>
  <si>
    <t>WA-2010-40</t>
  </si>
  <si>
    <t>DAVIDSON MATH &amp; SCIENCE CNTR FURNITURE &amp; SEATING</t>
  </si>
  <si>
    <t>12/152009</t>
  </si>
  <si>
    <t>WA-2010-41</t>
  </si>
  <si>
    <t>VIRGINIA ST TRANSIT QUEUE JUMP</t>
  </si>
  <si>
    <t>WA-2010-42</t>
  </si>
  <si>
    <t>MILITARY RD RECONSTRUCTION</t>
  </si>
  <si>
    <t>LY-2010-43</t>
  </si>
  <si>
    <t>SILVER SPRINGS MUTUAL WATER CO</t>
  </si>
  <si>
    <t>WATER SYSTEM IMPROVEMENTS FOR SSMWC (AARA)</t>
  </si>
  <si>
    <t>2/29/10</t>
  </si>
  <si>
    <t>HU-2010-44</t>
  </si>
  <si>
    <t>WELL EVALUATION &amp; REHABLITATION/ARRA</t>
  </si>
  <si>
    <t>WA-2010-45</t>
  </si>
  <si>
    <t>STEVE C HAMILTON INC</t>
  </si>
  <si>
    <t xml:space="preserve">PROJECT 3 POLICE DEPT PHOTOVOITAIC PHASE </t>
  </si>
  <si>
    <t>PROJECT 1 FIRE STATION #4 PROJECT #1 LOCALLY FUNDED</t>
  </si>
  <si>
    <t>PROJECT 2 FIRE STATION #5 PROJECT #2 LOCALLY FUNDED</t>
  </si>
  <si>
    <t>MI-2010-46</t>
  </si>
  <si>
    <t>MINERAL CO SCHOOL DIST</t>
  </si>
  <si>
    <t>SCHURZ ELEMENTRY SCHOOL WATER SYS ARSENIC TREATMENT</t>
  </si>
  <si>
    <t>WA-2010-47</t>
  </si>
  <si>
    <t>ROBB DR/SHARLANDS AVE INTERSECTION IMPROVEMENTS</t>
  </si>
  <si>
    <t>WA-2010-48</t>
  </si>
  <si>
    <t>Q &amp; D CONSTRUCTION/ARRA</t>
  </si>
  <si>
    <t>REVITALIZATION OF Sun Valley, Duncan,Corbett, &amp; Booth Schools PHASE 1 &amp; 2</t>
  </si>
  <si>
    <t>WA-2010-49</t>
  </si>
  <si>
    <t>SOUND INSULATION PROGRAM PHASE 17.7 CONTRACTOR</t>
  </si>
  <si>
    <t>LA-2010-50</t>
  </si>
  <si>
    <t>LANDER CO BRD OF COMMISSONERS</t>
  </si>
  <si>
    <t>LANDER CO 2009 PHASE 2 PAVING PROJECT</t>
  </si>
  <si>
    <t>WA-2010-51</t>
  </si>
  <si>
    <t>WASHOE DEPT WATER RESOURCES</t>
  </si>
  <si>
    <t>LAYFIELD ENVIRONMENTAL SYS CORP</t>
  </si>
  <si>
    <t>FIELDCREEK RECALIMED RESERVOIR COVER REPLACEMENT</t>
  </si>
  <si>
    <t>PE-2010-52</t>
  </si>
  <si>
    <t>BEN F DOTSON CONSTRUCTION</t>
  </si>
  <si>
    <t>CH-2010-53</t>
  </si>
  <si>
    <t>BOMBARD ELECTRIC</t>
  </si>
  <si>
    <t>NONE</t>
  </si>
  <si>
    <t>WA-2010-54</t>
  </si>
  <si>
    <t>MOGUL SIPHONING DECOMMISSIONING</t>
  </si>
  <si>
    <t>MI-2010-55</t>
  </si>
  <si>
    <t>CAMPBELL CONSTRUCTION CO INC</t>
  </si>
  <si>
    <t>WAST WATER TREATMENT FACILITY</t>
  </si>
  <si>
    <t>MI-2010-56</t>
  </si>
  <si>
    <t>SCHURZ  SCHOOL WATER SYS ARSENIC TREATMENT PLANT</t>
  </si>
  <si>
    <t>12/2*/09</t>
  </si>
  <si>
    <t>HU-2010-57</t>
  </si>
  <si>
    <t>MCDERMITT WATER SUPPLY</t>
  </si>
  <si>
    <t>ARRA/UNDER 100,000</t>
  </si>
  <si>
    <t>WELL EVALUATION &amp; REHABILITATION</t>
  </si>
  <si>
    <t>WA-2010-58</t>
  </si>
  <si>
    <t>KING CONSTRUCTION</t>
  </si>
  <si>
    <t>WA-2010-59</t>
  </si>
  <si>
    <t>CANCELED 4/30/10</t>
  </si>
  <si>
    <t>09/10 CONCRETE REPLACEMENT CITY WIDE ON CALL AS NEEDED</t>
  </si>
  <si>
    <t>WA-2010-60</t>
  </si>
  <si>
    <t>PAR ELECTRICAL CONSTRACTORS</t>
  </si>
  <si>
    <t>2010 TRAFFIC SIGNAL ON CALL CONTRACT CITYWIDE</t>
  </si>
  <si>
    <t>LY-2010-61</t>
  </si>
  <si>
    <t>NORTHERN NEVADA EXCAVATIONG</t>
  </si>
  <si>
    <t>WA-2010-62</t>
  </si>
  <si>
    <t>TERMINAL &amp; VILLANOVA HVAC</t>
  </si>
  <si>
    <t>WA-2010-63</t>
  </si>
  <si>
    <t>UNDER 100,000/HI STANDARD SECURITY</t>
  </si>
  <si>
    <t>WASHOE LAKE SECURITY SYSTEM</t>
  </si>
  <si>
    <t>WA-2010-64</t>
  </si>
  <si>
    <t>SIMPLEX GRINNELL LP</t>
  </si>
  <si>
    <t>SECURITY CCTV SYSTEM INSTALL/AACT HIGH SCHOOL</t>
  </si>
  <si>
    <t>WA-2010-65</t>
  </si>
  <si>
    <t>FCC COMMUNICATION</t>
  </si>
  <si>
    <t>SECURITY CCTV SYSTEM INSTALL/DAMONTE RANCH HI, GERLACH &amp; WOOSTER</t>
  </si>
  <si>
    <t>WA-2010-66</t>
  </si>
  <si>
    <t>CANCELED 6/16/10</t>
  </si>
  <si>
    <t>SECURTIY CCTB SYSTEM INSTALL/SPANISH SPRINGS HI SCHOOL</t>
  </si>
  <si>
    <t>LY-2010-67</t>
  </si>
  <si>
    <t>FARR CONSTRUCTION CORP</t>
  </si>
  <si>
    <t>DAYTON COMMUNITY CENTER STRUCTURAL REHABILITATION</t>
  </si>
  <si>
    <t>WA-2010-68</t>
  </si>
  <si>
    <t>BRUCE MCKAY PUMP &amp; WELL UNDR 100</t>
  </si>
  <si>
    <t>EXPLORATORY WELL</t>
  </si>
  <si>
    <t>WA-2010-69</t>
  </si>
  <si>
    <t>STMGID BOARD OF TRUSTEES</t>
  </si>
  <si>
    <t>CANCELED 06/21/10</t>
  </si>
  <si>
    <t>STMGID EXPLORATORY DRILLING</t>
  </si>
  <si>
    <t>CC-2010-70</t>
  </si>
  <si>
    <t>LIGHTING RETROFIT RICHARD BRYAN OFFICE BUILDING</t>
  </si>
  <si>
    <t>WP-2010-71</t>
  </si>
  <si>
    <t>WP CO HOSPITAL DISTRICT</t>
  </si>
  <si>
    <t>DANOSKI CLUTTS BUILDING GROUP LLC</t>
  </si>
  <si>
    <t>OPERATING ROOM ADDITION &amp; REMODEL</t>
  </si>
  <si>
    <t>LY-2010-72</t>
  </si>
  <si>
    <t>YERINGTON WATER &amp; SEWER WELL IMPROVEMENTS</t>
  </si>
  <si>
    <t>WP-2010-73</t>
  </si>
  <si>
    <t>REPLACE ATTACHED GROWTH MEDIA SEWAGE TREATMNT UPGRDES</t>
  </si>
  <si>
    <t>HU-2010-74</t>
  </si>
  <si>
    <t>MC DERMITT WATER SYSTEM</t>
  </si>
  <si>
    <t>UNDER 100,000/CARSON PUMP LLC</t>
  </si>
  <si>
    <t>MCDERMITT PRODUCTION WELL</t>
  </si>
  <si>
    <t>LY-2010-76A</t>
  </si>
  <si>
    <t>WATER &amp; SEWER WELL IMPROVEMENTS</t>
  </si>
  <si>
    <t>SHOULD HAVE USED 2010-75</t>
  </si>
  <si>
    <t>EL-2010-76</t>
  </si>
  <si>
    <t>STAKER PARSON COMPANIES</t>
  </si>
  <si>
    <t>Collection System Capacity Additions Package 1 TC-0643</t>
  </si>
  <si>
    <t>CL-2010-70</t>
  </si>
  <si>
    <t>Federal Stimulus- Street Rehabilitation 2009-B</t>
  </si>
  <si>
    <t>CL-2010-71</t>
  </si>
  <si>
    <t>ASWD</t>
  </si>
  <si>
    <t>Alamo Wastewater Treatment Facility Improvement Project</t>
  </si>
  <si>
    <t>CL-2010-72</t>
  </si>
  <si>
    <t>Pioche Upper Park Improvements</t>
  </si>
  <si>
    <t>CL-2010-73</t>
  </si>
  <si>
    <t>Collection System Capacity Additions Package 2  TS-0644</t>
  </si>
  <si>
    <t>CL-2010-74</t>
  </si>
  <si>
    <t>Baldwin Development LLC</t>
  </si>
  <si>
    <t>400 &amp; 500 S. Main Strret Demolition</t>
  </si>
  <si>
    <t>CL-2010-75</t>
  </si>
  <si>
    <t>VT Construction, Inc.</t>
  </si>
  <si>
    <t>Erosion Remediation, High Desert State Prison</t>
  </si>
  <si>
    <t>LI-2010-76</t>
  </si>
  <si>
    <t>Wiser Construction</t>
  </si>
  <si>
    <t>CL-2010-77</t>
  </si>
  <si>
    <t>Pride Contractors, LLc</t>
  </si>
  <si>
    <t>Canyon Crest Blvd. And Horizon Blvd. Roadway Improvement Project BCP-09-04</t>
  </si>
  <si>
    <t>CL-2010-78</t>
  </si>
  <si>
    <t>Hotel Rio Drive Bridge Repair</t>
  </si>
  <si>
    <t>CL-2010-79</t>
  </si>
  <si>
    <t xml:space="preserve">2009 PRV Projects </t>
  </si>
  <si>
    <t>CL-2010-80</t>
  </si>
  <si>
    <t>Franklin Construction Services, Inc.</t>
  </si>
  <si>
    <t>CNLV Detention Dormitory A Flooring Renovation</t>
  </si>
  <si>
    <t>CL-2010-81</t>
  </si>
  <si>
    <t>Spirit Underground, LLC.</t>
  </si>
  <si>
    <t>Blue Diamond Wash-Wigwam Avenue  B601789-09</t>
  </si>
  <si>
    <t>Las Vegas Boulevard/Serene Avenue Storm Drain  B601786-09</t>
  </si>
  <si>
    <t>CL-2010-84</t>
  </si>
  <si>
    <t>Cactus Avenue and Rainbow Boulevard-Phase 1  B601785-09</t>
  </si>
  <si>
    <t>CL-2010-85</t>
  </si>
  <si>
    <t>Kitty Hawk Drive 2009 Overlay Project  09/10-7</t>
  </si>
  <si>
    <t>ARRA-003(140)</t>
  </si>
  <si>
    <t>CL-2010-86</t>
  </si>
  <si>
    <t>BCCC</t>
  </si>
  <si>
    <t>MIA Roof Replacement- Central Terminal</t>
  </si>
  <si>
    <t>NY-2010-87</t>
  </si>
  <si>
    <t>Paving of Lola Lane</t>
  </si>
  <si>
    <t>CL-2010-88</t>
  </si>
  <si>
    <t>Las Vegas Electric, Inc.</t>
  </si>
  <si>
    <t>2009 Traffic Improvement Project- Phase 4A</t>
  </si>
  <si>
    <t>CL-2010-89</t>
  </si>
  <si>
    <t>Highway Stripping &amp; Signs, LLC</t>
  </si>
  <si>
    <t>2009 Traffic Improvement Project- Phase 3</t>
  </si>
  <si>
    <t>CL-2010-90</t>
  </si>
  <si>
    <t>Contri Construction Company</t>
  </si>
  <si>
    <t>Flamingo Arroyo Trail, Boulder Highway to Desert Inn Road</t>
  </si>
  <si>
    <t>1/12010</t>
  </si>
  <si>
    <t>CL-2010-91</t>
  </si>
  <si>
    <t xml:space="preserve">Fire Station No.22 </t>
  </si>
  <si>
    <t>CL-2010-92</t>
  </si>
  <si>
    <t>Central Environmental, Inc.</t>
  </si>
  <si>
    <t>Countywide Playground ADA Surfacing  601707</t>
  </si>
  <si>
    <t>CL-2010-93</t>
  </si>
  <si>
    <t>Spring Mountain Youth Camp Volleyball Pitt Turf Coversion  601711</t>
  </si>
  <si>
    <t>CL-2010-94</t>
  </si>
  <si>
    <t>CL-2010-95</t>
  </si>
  <si>
    <t>WRF Administration and Field Office Remodel</t>
  </si>
  <si>
    <t>NY-2010-96</t>
  </si>
  <si>
    <t>JNJ Eng. Const.</t>
  </si>
  <si>
    <t>Gabbs Sewer Improvement Project</t>
  </si>
  <si>
    <t>CL-2010-97</t>
  </si>
  <si>
    <t xml:space="preserve">M&amp;H Enterprises, Inc dbd Martin </t>
  </si>
  <si>
    <t>CCWRD Electrical Facilities Project Substation Construction</t>
  </si>
  <si>
    <t>CL-2010-98</t>
  </si>
  <si>
    <t>Miscellaneous Sanitary Sewer Protection Improvements Phase 1 &amp; Phase 2</t>
  </si>
  <si>
    <t>CL-2010-99</t>
  </si>
  <si>
    <t>Pittman Wash Sewer Assessment Pilot Project</t>
  </si>
  <si>
    <t>CL-2010-100</t>
  </si>
  <si>
    <t>CL-2010-101</t>
  </si>
  <si>
    <t>Kyle Canyon System Improvements-Lower Rainbow  C1270</t>
  </si>
  <si>
    <t>CL-2010-102</t>
  </si>
  <si>
    <t>P3 Construction Management</t>
  </si>
  <si>
    <t>Nevada State College-Elevator Installation 131-09-CM-026</t>
  </si>
  <si>
    <t>CL-2010-103</t>
  </si>
  <si>
    <t>Terminal 3 Passenger Loading Bridges</t>
  </si>
  <si>
    <t>Sole Source</t>
  </si>
  <si>
    <t>CL-2010-104</t>
  </si>
  <si>
    <t>Pahrump Museum Addition</t>
  </si>
  <si>
    <t>CL-2010-105</t>
  </si>
  <si>
    <t>City Hall Roof Replacement</t>
  </si>
  <si>
    <t>CL-2010-106</t>
  </si>
  <si>
    <t>Stephanie Street Stimulus Project</t>
  </si>
  <si>
    <t>38/2010</t>
  </si>
  <si>
    <t>CL-2010-107</t>
  </si>
  <si>
    <t>Gothic Landscaping, Inc.</t>
  </si>
  <si>
    <t>Amargosa Mountain Bike Trail Plan</t>
  </si>
  <si>
    <t>ES-2010-108</t>
  </si>
  <si>
    <t>Goldfield Relining of Treatment Ponds Phase 2</t>
  </si>
  <si>
    <t>NY-2010-109</t>
  </si>
  <si>
    <t>Manhattan Water Piping</t>
  </si>
  <si>
    <t>CL-2010-109</t>
  </si>
  <si>
    <t>Sewer, Groundwater Monitoring, Well &amp; Aeration</t>
  </si>
  <si>
    <t>CL-2010-110</t>
  </si>
  <si>
    <t>CL-2010-111</t>
  </si>
  <si>
    <t>2009 Asphalt Overlay, Rainbow Boulevard  09.1762.01-04LED</t>
  </si>
  <si>
    <t>CL-2010-112</t>
  </si>
  <si>
    <t>Clark and Sullivan Construction</t>
  </si>
  <si>
    <t>Imaging Suite Shielding</t>
  </si>
  <si>
    <t>CL-2010-113</t>
  </si>
  <si>
    <t>MPE StructureLab/Room 508</t>
  </si>
  <si>
    <t>CL-2010-114</t>
  </si>
  <si>
    <t>Taylor International Corp.</t>
  </si>
  <si>
    <t>Sterile Processing Department Remodel</t>
  </si>
  <si>
    <t>NY-2010-115</t>
  </si>
  <si>
    <t>NYBC</t>
  </si>
  <si>
    <t>Tonopah Fire Station Metal Building</t>
  </si>
  <si>
    <t>CL-2010-116</t>
  </si>
  <si>
    <t>Fire Administration Emergency</t>
  </si>
  <si>
    <t>CL-2010-117</t>
  </si>
  <si>
    <t>Warm Springs Storage and Maintenance Building</t>
  </si>
  <si>
    <t>CL-2010-118</t>
  </si>
  <si>
    <t>Traffic Package 7A</t>
  </si>
  <si>
    <t>CL-2010-119</t>
  </si>
  <si>
    <t>Countywide Roof Replacement-Phase 1</t>
  </si>
  <si>
    <t>CL-2010-120</t>
  </si>
  <si>
    <t>Las Vegas Wash Trail Phase IV  #10198</t>
  </si>
  <si>
    <t>CL-2010-121</t>
  </si>
  <si>
    <t>Hardy Construciton, Inc</t>
  </si>
  <si>
    <t>Metro Substation At Eldora/Cimarron</t>
  </si>
  <si>
    <t>LI-2010-122</t>
  </si>
  <si>
    <t>Park Office/Cantact Station @ Kershaw-Ryan State Park</t>
  </si>
  <si>
    <t>CL-2010-123</t>
  </si>
  <si>
    <t>Amargosa Trailheads</t>
  </si>
  <si>
    <t>CL-2010-124</t>
  </si>
  <si>
    <t>Canceled NEW PWP 2010-215</t>
  </si>
  <si>
    <t>Horizon Ridge PKWY-Jeffreys Street Traffic Signal</t>
  </si>
  <si>
    <t>CL-2010-125</t>
  </si>
  <si>
    <t>Boyd Martin Construction, LLC</t>
  </si>
  <si>
    <t>Metro Firearms Range</t>
  </si>
  <si>
    <t>CL-2010-126</t>
  </si>
  <si>
    <t>Mikon Construction Co., Inc.</t>
  </si>
  <si>
    <t>Replace Tennis Basketball Courts and Correct Drainage</t>
  </si>
  <si>
    <t>CL-2010-127</t>
  </si>
  <si>
    <t>Southern Nevada Paving</t>
  </si>
  <si>
    <t>Stimulus Package #3. Pulverize, Pave and Slurry Seal  B601822-09</t>
  </si>
  <si>
    <t>ARRA 0003 (125)</t>
  </si>
  <si>
    <t>CL-2010-128</t>
  </si>
  <si>
    <t>Pulverize and Pave  B601-824-09</t>
  </si>
  <si>
    <t>ARRA 0003(129)</t>
  </si>
  <si>
    <t>CL-2010-129</t>
  </si>
  <si>
    <t>Wells Cargo, Inc.</t>
  </si>
  <si>
    <t>Pulverize and Pave  B601-825-09</t>
  </si>
  <si>
    <t>ARRA 0003(133)</t>
  </si>
  <si>
    <t>CL-2010-130</t>
  </si>
  <si>
    <t>APEC Consultants, Inc.</t>
  </si>
  <si>
    <t>County Fair Grounds: Plaza and Arena Concessions Remodel</t>
  </si>
  <si>
    <t>ARRA 0003(125)</t>
  </si>
  <si>
    <t>LI-2010-131</t>
  </si>
  <si>
    <t>PFA</t>
  </si>
  <si>
    <t>Anazalone Pumps, Inc.</t>
  </si>
  <si>
    <t>Paneca Farmstead Association 2010 New Well</t>
  </si>
  <si>
    <t>CL-2010-132</t>
  </si>
  <si>
    <t>Electronic Door Access</t>
  </si>
  <si>
    <t>CL-2010-133</t>
  </si>
  <si>
    <t>Palmetto Construction, Inc.</t>
  </si>
  <si>
    <t>West Flamingo Senior Center: HVAC Upgrades and Mold Mitigation</t>
  </si>
  <si>
    <t>CL-2010-134</t>
  </si>
  <si>
    <t>Terminal 3 Automated Transit System</t>
  </si>
  <si>
    <t>CL-2010-135</t>
  </si>
  <si>
    <t>Amazon masonry, Inc.</t>
  </si>
  <si>
    <t>WPCF Desert Inn Road Landscaping</t>
  </si>
  <si>
    <t>CL-2010-136</t>
  </si>
  <si>
    <t>Spirit Underground, LLC</t>
  </si>
  <si>
    <t>North &amp; South Environmental Enhancement Areas @ Floyd Lamb Park</t>
  </si>
  <si>
    <t>NY-2010-137</t>
  </si>
  <si>
    <t>BWSD</t>
  </si>
  <si>
    <t>Boart Longyard</t>
  </si>
  <si>
    <t>BWSD Exploratory Drilling &amp; Well Impr. Project</t>
  </si>
  <si>
    <t>CL-2010-138</t>
  </si>
  <si>
    <t>SNHD</t>
  </si>
  <si>
    <t>CMU Wall Repair</t>
  </si>
  <si>
    <t>CL-2010-139</t>
  </si>
  <si>
    <t>Central Freeway Channel Phase #2</t>
  </si>
  <si>
    <t>CL-2010-140</t>
  </si>
  <si>
    <t>Losee Road Improvements-Phase 2A</t>
  </si>
  <si>
    <t>CL-2010-141</t>
  </si>
  <si>
    <t>Site Security</t>
  </si>
  <si>
    <t>CL-2010-142</t>
  </si>
  <si>
    <t>Craig Ranch Maintenance Facility</t>
  </si>
  <si>
    <t>CL-2010-143</t>
  </si>
  <si>
    <t>Canceled Awarded Under 100,000.00</t>
  </si>
  <si>
    <t>Victory/Atlantic Sidewalk Ramps</t>
  </si>
  <si>
    <t>CL-2010-144</t>
  </si>
  <si>
    <t>Ace Fire Systems, Inc.</t>
  </si>
  <si>
    <t>Reed Whipple Center Fire Sprinkler Installation</t>
  </si>
  <si>
    <t>CL-2010-145</t>
  </si>
  <si>
    <t>Pulverize, Pave and Slurry Seal</t>
  </si>
  <si>
    <t>LI-2010-146</t>
  </si>
  <si>
    <t xml:space="preserve">Caliente Fire House Phase II Project, 2010 </t>
  </si>
  <si>
    <t>CL-2010-147</t>
  </si>
  <si>
    <t>Racetrack Raod Trail Crossing and Misc. Median Improvements</t>
  </si>
  <si>
    <t>CL-2010-148</t>
  </si>
  <si>
    <t>Scheidt &amp; Bachmann</t>
  </si>
  <si>
    <t>Parking Revenue Control System</t>
  </si>
  <si>
    <t>CL-2010-149</t>
  </si>
  <si>
    <t>2009 Annual Asphalt Overlay Bonanza (LV to Nellis)  and Maryland (Sahara to Stewart)</t>
  </si>
  <si>
    <t>CL-2010-150</t>
  </si>
  <si>
    <t>HVAC School Modernization @ Perkins ES</t>
  </si>
  <si>
    <t>CL-2010-151</t>
  </si>
  <si>
    <t>ADA Sidewalk Accessibility FY 09/10</t>
  </si>
  <si>
    <t>CL-2010-152</t>
  </si>
  <si>
    <t>Peterson Dean Roofing &amp; Sheet Metal</t>
  </si>
  <si>
    <t>Roof Replacement @ Valley High School</t>
  </si>
  <si>
    <t>CL-2010-153</t>
  </si>
  <si>
    <t>Mountain Vista Development, Inc.</t>
  </si>
  <si>
    <t>Public Works Administration- Engineering Remodel</t>
  </si>
  <si>
    <t>CL-2010-154</t>
  </si>
  <si>
    <t>QH Las Vegas</t>
  </si>
  <si>
    <t>New City Hall</t>
  </si>
  <si>
    <t>CL-2010-155</t>
  </si>
  <si>
    <t>Preferred Contracting, Inc.</t>
  </si>
  <si>
    <t>Bird Viewing Preserve Onsite Improvements</t>
  </si>
  <si>
    <t>CL-2010-156</t>
  </si>
  <si>
    <t>Arts District Gateway</t>
  </si>
  <si>
    <t>CL-2010-157</t>
  </si>
  <si>
    <t>BOHT</t>
  </si>
  <si>
    <t>Quality Mechanical Contractors, LLC</t>
  </si>
  <si>
    <t>Humidifier Relocation</t>
  </si>
  <si>
    <t>CL-2010-158</t>
  </si>
  <si>
    <t>Corrosion Management Plan Phase 2 Bid Package 3</t>
  </si>
  <si>
    <t>CL-2010-159</t>
  </si>
  <si>
    <t>City Plan Development, Inc. dba Savi Const.</t>
  </si>
  <si>
    <t>Cath Lab Remodel</t>
  </si>
  <si>
    <t>CL-2010-160</t>
  </si>
  <si>
    <t>M&amp;H Enterprises, Inc.</t>
  </si>
  <si>
    <t>Elkhorn Springs and Buffalo Drive Storm Drain System</t>
  </si>
  <si>
    <t>CL-2010-161</t>
  </si>
  <si>
    <t>Simmons Street Drainage Inpmrovements- Gowan Outfall</t>
  </si>
  <si>
    <t>CL-2010-162</t>
  </si>
  <si>
    <t>Water Bolstering Project Between North 5th &amp; Donna Phase 11 Orr Ave &amp; Barlett Ave</t>
  </si>
  <si>
    <t>CL-2010-163</t>
  </si>
  <si>
    <t>Lloyd's Refrigeration, Inc.</t>
  </si>
  <si>
    <t>Kenny C. Guin Middle School</t>
  </si>
  <si>
    <t>CL-2010-164</t>
  </si>
  <si>
    <t>Roof Replacement for Plant/Boiler Room &amp; Central Store/Warehouse</t>
  </si>
  <si>
    <t>NY-2010-165</t>
  </si>
  <si>
    <t>Amargosa Valley Science &amp; Technology Park Pump House Electrical</t>
  </si>
  <si>
    <t>CL-2010-166</t>
  </si>
  <si>
    <t>Traffic Engineering Maintenance Improvements West Services Center CDL Lot</t>
  </si>
  <si>
    <t>CL-2010-167</t>
  </si>
  <si>
    <t>Cooling Tower Replacement Nevada State Veterans Home</t>
  </si>
  <si>
    <t>CL-2010-168</t>
  </si>
  <si>
    <t>Atrium Building Renovation</t>
  </si>
  <si>
    <t>CL-2010-169</t>
  </si>
  <si>
    <t>Sanitary Sewer Rehabilitation</t>
  </si>
  <si>
    <t>CL-2010-170</t>
  </si>
  <si>
    <t>TAB Contractors, Inc.</t>
  </si>
  <si>
    <t>Satellite C- Paradise Pad Ramp and Apron Reconstruction</t>
  </si>
  <si>
    <t>CL-2010-171</t>
  </si>
  <si>
    <t>Triangle Area Improvements</t>
  </si>
  <si>
    <t>CL-2010-172</t>
  </si>
  <si>
    <t>Duck Creek Drop Structure Near Nellis</t>
  </si>
  <si>
    <t>CL-2010-173</t>
  </si>
  <si>
    <t>Canceled Federally Funded</t>
  </si>
  <si>
    <t>Salvation Army Building Roof Recovering</t>
  </si>
  <si>
    <t>CL-2010-174</t>
  </si>
  <si>
    <t>Bus and Staff Parking and Quonset Hut Demolition</t>
  </si>
  <si>
    <t>CL-2010-175</t>
  </si>
  <si>
    <t>Canceled Under 100,000.00</t>
  </si>
  <si>
    <t>2009 Pavement Reconstruction Project- Survey</t>
  </si>
  <si>
    <t>CL-2010-176</t>
  </si>
  <si>
    <t>Pipenology, Inc.</t>
  </si>
  <si>
    <t xml:space="preserve">Buchanan Boulevard </t>
  </si>
  <si>
    <t>CL-2010-177</t>
  </si>
  <si>
    <t>El Camino Contracting Co. Inc.</t>
  </si>
  <si>
    <t>Major Street Rehabilitation FY 08/09</t>
  </si>
  <si>
    <t>CL-2010-178</t>
  </si>
  <si>
    <t>Enterprises Water Resource Center Site Development</t>
  </si>
  <si>
    <t>CL-2010-179</t>
  </si>
  <si>
    <t>Design Build of the UNLV Athletics Synthetic Turf</t>
  </si>
  <si>
    <t>CL-2010-180</t>
  </si>
  <si>
    <t>Meado Valley Contractors, Inc.</t>
  </si>
  <si>
    <t>Desesrt Inn Deck</t>
  </si>
  <si>
    <t>CL-2010-181</t>
  </si>
  <si>
    <t>Tracy Hoherz</t>
  </si>
  <si>
    <t>Serene Avenue Maryland Parkway To Spencer Street</t>
  </si>
  <si>
    <t>CL-2010-182</t>
  </si>
  <si>
    <t>Range Wash Channel Reconstruciton VI</t>
  </si>
  <si>
    <t>CL-2010-183</t>
  </si>
  <si>
    <t>Streetlight Modernization</t>
  </si>
  <si>
    <t>CL-2010-184</t>
  </si>
  <si>
    <t>Turner Construction Company</t>
  </si>
  <si>
    <t>Installation of Chillers</t>
  </si>
  <si>
    <t>CL-2010-185</t>
  </si>
  <si>
    <t>Bombard Electric</t>
  </si>
  <si>
    <t>Henderson DMV Photovoltaic Installation</t>
  </si>
  <si>
    <t>CL-2010-186</t>
  </si>
  <si>
    <t>Enterprise Water Resource Center Site Development Package 1</t>
  </si>
  <si>
    <t>CL-2010-187</t>
  </si>
  <si>
    <t>HVAC Installation Clark County Armory</t>
  </si>
  <si>
    <t>CL-2010-188</t>
  </si>
  <si>
    <t>Peek Construction Company</t>
  </si>
  <si>
    <t>Tropical Breeze Park</t>
  </si>
  <si>
    <t>CL-2010-189</t>
  </si>
  <si>
    <t>Solar Covered Parking Bid Lot B Stupak Comm Center&amp; Natural History Museum&amp; Fire Station #10</t>
  </si>
  <si>
    <t>CL-2010-190</t>
  </si>
  <si>
    <t>Whitney Library Roof Replacement</t>
  </si>
  <si>
    <t>CL-2010-191</t>
  </si>
  <si>
    <t>The Original Roofing Company, LLC</t>
  </si>
  <si>
    <t>West Charleston Library Roof Replace</t>
  </si>
  <si>
    <t>CL-2010-192</t>
  </si>
  <si>
    <t>Replace Asphalt on Playground</t>
  </si>
  <si>
    <t>CL-2010-193</t>
  </si>
  <si>
    <t>Trade West Construction, Inc.</t>
  </si>
  <si>
    <t>Glendale Peak Communication Site Replacement</t>
  </si>
  <si>
    <t>FEDERALLY FUNDED</t>
  </si>
  <si>
    <t>CL-2010-194</t>
  </si>
  <si>
    <t>Regional Justice Center Sidewalk Repairs</t>
  </si>
  <si>
    <t>CL-2010-195</t>
  </si>
  <si>
    <t>Sandy Valley Communications Site Improvements</t>
  </si>
  <si>
    <t>CL-2010-196</t>
  </si>
  <si>
    <t>Martin-Harris Construction</t>
  </si>
  <si>
    <t>Clark County Detention Center North Tower Condenser Water Piping Replacement</t>
  </si>
  <si>
    <t>CL-2010-197</t>
  </si>
  <si>
    <t>Traffic Package 7</t>
  </si>
  <si>
    <t>4/31/2010</t>
  </si>
  <si>
    <t>CL-2010-198</t>
  </si>
  <si>
    <t>Lone Mountain Trail Pedestrain Bridges Cultural Corridor Trail Pedestrain Bridge Lone Mountain Trail Ph. 2B</t>
  </si>
  <si>
    <t>CL-2010-199</t>
  </si>
  <si>
    <t>Lower Detention Basin of Las Vegas Wash-Wall Repair</t>
  </si>
  <si>
    <t>CL-2010-200</t>
  </si>
  <si>
    <t>Modernfold of Nevada, LLC</t>
  </si>
  <si>
    <t>North Hall Air Wall Replacement</t>
  </si>
  <si>
    <t>CL-2010-201</t>
  </si>
  <si>
    <t>Eberhard Southwest Roofing, Inc.</t>
  </si>
  <si>
    <t>Bigelow Physics Building Re-Roofing Project</t>
  </si>
  <si>
    <t>CL-2010-202</t>
  </si>
  <si>
    <t>Downtown Area Command</t>
  </si>
  <si>
    <t>CL-2010-203</t>
  </si>
  <si>
    <t>HVAC School Modernization/Selma F Bartlett ES</t>
  </si>
  <si>
    <t>CL-2010-204</t>
  </si>
  <si>
    <t>HVAC School Modernization/Patricia F Bendorf ES</t>
  </si>
  <si>
    <t>CL-2010-205</t>
  </si>
  <si>
    <t>HVAC School Modernization/Lilly and Wing Fong ES</t>
  </si>
  <si>
    <t>CL-2010-206</t>
  </si>
  <si>
    <t>Corrosiion Management Plan, Phase 2 Bid Package 4</t>
  </si>
  <si>
    <t>CL-2010-207</t>
  </si>
  <si>
    <t>Bonneville/Clark One-Way Couplet, Phase I</t>
  </si>
  <si>
    <t>CL-2010-208</t>
  </si>
  <si>
    <t>Main Street and Garces Traffic Signal</t>
  </si>
  <si>
    <t>CL-2010-209</t>
  </si>
  <si>
    <t>Cheyenne 2975 Zone Motor Operated Valves</t>
  </si>
  <si>
    <t>CL-2010-210</t>
  </si>
  <si>
    <t>CBC Chiller Re-Piping</t>
  </si>
  <si>
    <t>CL-2010-211</t>
  </si>
  <si>
    <t>Fire Station #50</t>
  </si>
  <si>
    <t>CL-2010-212</t>
  </si>
  <si>
    <t>Hardy Construction</t>
  </si>
  <si>
    <t>Mob Museom Exhibit Fabrication 36697</t>
  </si>
  <si>
    <t>CL-2010-213</t>
  </si>
  <si>
    <t>Transcore</t>
  </si>
  <si>
    <t>Sunridge Heights/Coronado Center Traffic Signal</t>
  </si>
  <si>
    <t>CL-2010-214</t>
  </si>
  <si>
    <t>Williams Brother, Inc.</t>
  </si>
  <si>
    <t>Horizon Ridge Pkwy/Mission Drive Traffit Signal</t>
  </si>
  <si>
    <t>CL-2010-215</t>
  </si>
  <si>
    <t>Horizon Ridge Pkwy/Jeffrey's Street Traffic Signal</t>
  </si>
  <si>
    <t>NY-2010-216</t>
  </si>
  <si>
    <t>NCC</t>
  </si>
  <si>
    <t>Great Basin Drilling</t>
  </si>
  <si>
    <t>CL-2010-217</t>
  </si>
  <si>
    <t>Galleria Drive Street Improvements-Burns RD to Moser Dr</t>
  </si>
  <si>
    <t>CL-2010-218</t>
  </si>
  <si>
    <t>Arterial Reconstruction Program FY 2010</t>
  </si>
  <si>
    <t>CL-2010-219</t>
  </si>
  <si>
    <t>Anthem Pkwy Rehab-Reunion to Hampton</t>
  </si>
  <si>
    <t>CL-2010-220</t>
  </si>
  <si>
    <t>Miscellaneous Vaults, Reconstruction and Repair, Phase XVI</t>
  </si>
  <si>
    <t>CL-2010-221</t>
  </si>
  <si>
    <t>Capriati Construction, Inc.</t>
  </si>
  <si>
    <t>Searchlight Wells S-3 and S-4 Discharge Pipeline</t>
  </si>
  <si>
    <t>CL-2010-222</t>
  </si>
  <si>
    <t>Roof Replacement, Clark County Armory</t>
  </si>
  <si>
    <t>CL-2010-223</t>
  </si>
  <si>
    <t>American Pavement Preservation</t>
  </si>
  <si>
    <t>2010 Annual Slurry Seal</t>
  </si>
  <si>
    <t>CL-2010-224</t>
  </si>
  <si>
    <t>Avery Atlantic</t>
  </si>
  <si>
    <t>Cooperative Extension Center Expansion</t>
  </si>
  <si>
    <t>CL-2010-225</t>
  </si>
  <si>
    <t>Sahara Ave Bus Rapid Transit-Construction Manager @ Risk</t>
  </si>
  <si>
    <t>TIGER Grant Fed Fund</t>
  </si>
  <si>
    <t>CL-2010-226</t>
  </si>
  <si>
    <t xml:space="preserve">Construction </t>
  </si>
  <si>
    <t>SCS Cooling Tower Project</t>
  </si>
  <si>
    <t>CL-2010-227</t>
  </si>
  <si>
    <t>VGT Airfield Improvements</t>
  </si>
  <si>
    <t>CL-2010-228</t>
  </si>
  <si>
    <t>JNJ Engineering Construction, Inc.</t>
  </si>
  <si>
    <t>Well #3 Replacement- Pump House &amp; Transmission Line</t>
  </si>
  <si>
    <t>CL-2010-229</t>
  </si>
  <si>
    <t>Kiel Ranch Adobe Restoration</t>
  </si>
  <si>
    <t>CL-2010-230</t>
  </si>
  <si>
    <t>Elevator Modernization- 2040- Building</t>
  </si>
  <si>
    <t>CL-2010-231</t>
  </si>
  <si>
    <t>HVAC Modernization Jim Thorpe ES</t>
  </si>
  <si>
    <t>CL-2010-232</t>
  </si>
  <si>
    <t>Interstate Plumbing and Air Conditioning</t>
  </si>
  <si>
    <t>HVAC Modernization Harriet Treem ES</t>
  </si>
  <si>
    <t>CL-2010-233</t>
  </si>
  <si>
    <t>Hidden Falls Park</t>
  </si>
  <si>
    <t>CL-2010-234</t>
  </si>
  <si>
    <t>Laughlin Regional Hearitage Greenway Tail</t>
  </si>
  <si>
    <t>CL-2010-235</t>
  </si>
  <si>
    <t>Searchlight Trails Improvements Phase 1</t>
  </si>
  <si>
    <t>CL-2010-236</t>
  </si>
  <si>
    <t>HVAC School Modernization Woolley ES</t>
  </si>
  <si>
    <t>ES-2010-237</t>
  </si>
  <si>
    <t>ESC</t>
  </si>
  <si>
    <t>Courthouse Grid Tied Solar System</t>
  </si>
  <si>
    <t>ES-2010-238</t>
  </si>
  <si>
    <t>Silver Peak Tied Solar System</t>
  </si>
  <si>
    <t>CL-2010-239</t>
  </si>
  <si>
    <t>Replace Ashpalt of Playground Walter Long ES</t>
  </si>
  <si>
    <t>CL-2010-240</t>
  </si>
  <si>
    <t>CG&amp; B Enterprises, Inc.</t>
  </si>
  <si>
    <t>Parking Lot Expansion, Henderson DMV</t>
  </si>
  <si>
    <t>CL-2010-241</t>
  </si>
  <si>
    <t>FastTrac Electric</t>
  </si>
  <si>
    <t>Traffic Signal System at Cameron Street and Hacienda Avenue</t>
  </si>
  <si>
    <t>CL-2010-242</t>
  </si>
  <si>
    <t>Concrete Flooring Paint/Coating Removal &amp; Re-Sealing Women's Correctional Center</t>
  </si>
  <si>
    <t>NY-2010-243</t>
  </si>
  <si>
    <t>Top Rank Builders</t>
  </si>
  <si>
    <t>Beatty Ambulance Facility {hase 1 Metal Building</t>
  </si>
  <si>
    <t>CL-2010-244</t>
  </si>
  <si>
    <t>Neal and Sons Enterprises</t>
  </si>
  <si>
    <t>2010 Pavement &amp; Parking Lots Identified Within The City of Henderson</t>
  </si>
  <si>
    <t>CL-2010-245</t>
  </si>
  <si>
    <t>Peek Construction</t>
  </si>
  <si>
    <t>Sandhill Owens Park and Trailhead</t>
  </si>
  <si>
    <t>CL-2010-246</t>
  </si>
  <si>
    <t>Cliff Shadows Parkway, Buckskin Avenue to Lone Mountain Road</t>
  </si>
  <si>
    <t>CL-2010-247</t>
  </si>
  <si>
    <t>Laughlin Transit Fueling Station</t>
  </si>
  <si>
    <t>FTA Federal Funds</t>
  </si>
  <si>
    <t>CL-2010-248</t>
  </si>
  <si>
    <t>AWT Membrane &amp; Ozonation Facilities Phase 1</t>
  </si>
  <si>
    <t>CL-2010-249</t>
  </si>
  <si>
    <t>Construction of Additional Parking, Fire Access and Fire Hydrant</t>
  </si>
  <si>
    <t>CL-2010-250</t>
  </si>
  <si>
    <t>Cobblestone Construction</t>
  </si>
  <si>
    <t>Countywide Fire Station Security Improvements</t>
  </si>
  <si>
    <t>CL-2010-251</t>
  </si>
  <si>
    <t>Core Construction/Mojave Electric</t>
  </si>
  <si>
    <t>50 KW Photovoltaic Solar Power System</t>
  </si>
  <si>
    <t>CL-2010-252</t>
  </si>
  <si>
    <t>Honeywell Energy System Upgrade</t>
  </si>
  <si>
    <t>CL-2010-253</t>
  </si>
  <si>
    <t>Helix Electric, Inc.</t>
  </si>
  <si>
    <t>Roof Top Photovoltaic System @ Bailey Elementary School</t>
  </si>
  <si>
    <t>CL-2010-254</t>
  </si>
  <si>
    <t>Roof Top Photovoltaic System @ Dickens Elementary School</t>
  </si>
  <si>
    <t>CL-2010-255</t>
  </si>
  <si>
    <t>Roof Top Photovoltaic System @ Glyens Elementary School</t>
  </si>
  <si>
    <t>CL-2010-256</t>
  </si>
  <si>
    <t>Roof Top Photovoltaic System @ Roundy Elementary School</t>
  </si>
  <si>
    <t>CL-2010-257</t>
  </si>
  <si>
    <t>Roof Top Photovoltaic System @ Smalley Elementary School</t>
  </si>
  <si>
    <t>CL-2010-258</t>
  </si>
  <si>
    <t>City of Mesquite Fime Arts Center Modifications</t>
  </si>
  <si>
    <t>CL-2010-259</t>
  </si>
  <si>
    <t>Site "A" Dry Utility Installation</t>
  </si>
  <si>
    <t>CL-2010-260</t>
  </si>
  <si>
    <t>2010 Overlay Project Phase I</t>
  </si>
  <si>
    <t>CL-2010-261</t>
  </si>
  <si>
    <t>Nate Mack Elementary School HVAC Modernization</t>
  </si>
  <si>
    <t>CL-2010-262</t>
  </si>
  <si>
    <t>Andrew Mitchell Elementary School HVAC Modernization</t>
  </si>
  <si>
    <t>CL-2010-263</t>
  </si>
  <si>
    <t>AWT Electrical Equipment Upgrade</t>
  </si>
  <si>
    <t>CL-2010-264</t>
  </si>
  <si>
    <t>Western States Contracting, Inc.</t>
  </si>
  <si>
    <t>Tropicana North Branch Detention Basin</t>
  </si>
  <si>
    <t>CL-2010-265</t>
  </si>
  <si>
    <t>Cancel AWARDED UNDER 100,000</t>
  </si>
  <si>
    <t>Windmill Lane Durango Drive Sanitary Sewer Reconstruction</t>
  </si>
  <si>
    <t>CL-2010-266</t>
  </si>
  <si>
    <t>Asphalt Replacement</t>
  </si>
  <si>
    <t>CL-2010-267</t>
  </si>
  <si>
    <t>Thor Construction, Inc.</t>
  </si>
  <si>
    <t>Covered Parking- Bid Lot East Las Vegas Community Center and All American Park</t>
  </si>
  <si>
    <t>LI-2010-268</t>
  </si>
  <si>
    <t>LCSD</t>
  </si>
  <si>
    <t>Pahranagat Valley Middle School</t>
  </si>
  <si>
    <t>CL-2010-269</t>
  </si>
  <si>
    <t>500 S. Main Street Parking garage</t>
  </si>
  <si>
    <t>CL-2010-270</t>
  </si>
  <si>
    <t>Solar Covered Parking- Bid Lot C2 Mirabelli Comm. Center, Veterans Memorial Comm. And Ed Fountain Park</t>
  </si>
  <si>
    <t>CL-2010-271</t>
  </si>
  <si>
    <t>Solar Covered Parking- Bid Lot A Durango Hills Comm. Center and Cenntennial Comm. Center</t>
  </si>
  <si>
    <t>CL-2010-272</t>
  </si>
  <si>
    <t>CL-2010-273</t>
  </si>
  <si>
    <t>Bombard Electric, LLC</t>
  </si>
  <si>
    <t>Roof Top Photovotaic System @ Eileen Conners Elementary School</t>
  </si>
  <si>
    <t>CL-2010-274</t>
  </si>
  <si>
    <t>Roof Top Photovotaic System @ Robert L. Forbuss Elementary School</t>
  </si>
  <si>
    <t>CL-2010-275</t>
  </si>
  <si>
    <t>Roof Top Photovotaic System @ Judy and John L. Goolsby Elementary School</t>
  </si>
  <si>
    <t>CL-2010-276</t>
  </si>
  <si>
    <t>Roof Top Photovotaic System @ John R. Hummel Elemenatry School</t>
  </si>
  <si>
    <t>CL-2010-277</t>
  </si>
  <si>
    <t>Roof Top Photovotaic System @ William and Mary Scherkenbach Elementary School</t>
  </si>
  <si>
    <t>CL-2010-278</t>
  </si>
  <si>
    <t>Roof Top Photovotaic System @ Sandra Lee Thompson Elementary School</t>
  </si>
  <si>
    <t>CL-2010-279</t>
  </si>
  <si>
    <t>Northwest Career &amp; Technical Academy</t>
  </si>
  <si>
    <t>CL-2010-280</t>
  </si>
  <si>
    <t>St. Rose Parkway Trail Phase II</t>
  </si>
  <si>
    <t>CL-2010-281</t>
  </si>
  <si>
    <t>HVAC School Modernization @ Dailey ES</t>
  </si>
  <si>
    <t>CL-2010-282</t>
  </si>
  <si>
    <t>HVAC School Modernization @ Kahre ES</t>
  </si>
  <si>
    <t>CL-2010-283</t>
  </si>
  <si>
    <t>HVAC School Modernization @ Edythe Katz ES</t>
  </si>
  <si>
    <t>CL-2010-284</t>
  </si>
  <si>
    <t>Roof Replacement</t>
  </si>
  <si>
    <t>CL-2010-285</t>
  </si>
  <si>
    <t>Red Rose, Inc.</t>
  </si>
  <si>
    <t>Roof Replacement @ Long ES</t>
  </si>
  <si>
    <t>CL-2010-286</t>
  </si>
  <si>
    <t>The Original Roofing Company</t>
  </si>
  <si>
    <t>Roof Replacement @ Mendoza ES</t>
  </si>
  <si>
    <t>CL-2010-287</t>
  </si>
  <si>
    <t>Roof Replacement Sawyer MS</t>
  </si>
  <si>
    <t>CL-2010-288</t>
  </si>
  <si>
    <t>Roof Replacement @ Squires ES</t>
  </si>
  <si>
    <t>CL-2010-289</t>
  </si>
  <si>
    <t>American Pavement Preservation, LLC</t>
  </si>
  <si>
    <t>Bunkerville 2009-Slurry Seal</t>
  </si>
  <si>
    <t>CL-2010-290</t>
  </si>
  <si>
    <t>Hardy Construction, Inc</t>
  </si>
  <si>
    <t>Reunion Trails Park</t>
  </si>
  <si>
    <t>NY-2010-291</t>
  </si>
  <si>
    <t>Ranger Residence, Storage, Photovoltaic off Grid Power and Site Improvements</t>
  </si>
  <si>
    <t>CL-2010-292</t>
  </si>
  <si>
    <t>HVAC School Modernization @ Mary &amp; Zel Lowman ES</t>
  </si>
  <si>
    <t>CL-2010-293</t>
  </si>
  <si>
    <t>HVAC School Modernization @ Ernest May ES</t>
  </si>
  <si>
    <t>CL-2010-294</t>
  </si>
  <si>
    <t>HVAC School Modernization @ Ulis Newton ES</t>
  </si>
  <si>
    <t>CL-2010-295</t>
  </si>
  <si>
    <t>Desert Inn 3205 Zone Pumping Station Facility Improvements</t>
  </si>
  <si>
    <t>NY-2010-296</t>
  </si>
  <si>
    <t>Completion of Recreation Hall Phase 3</t>
  </si>
  <si>
    <t>CL-2010-297</t>
  </si>
  <si>
    <t>Roof Top Photovotaic System @ Kathy L. Batterman ES</t>
  </si>
  <si>
    <t>CL-2010-298</t>
  </si>
  <si>
    <t>Kay Carl ES</t>
  </si>
  <si>
    <t>CL-2010-299</t>
  </si>
  <si>
    <t>Don E. Hayden ES</t>
  </si>
  <si>
    <t>CL-2010-300</t>
  </si>
  <si>
    <t>Dr. Claude G. Perkins ES</t>
  </si>
  <si>
    <t>CL-2010-301</t>
  </si>
  <si>
    <t>Aldeane Comito Ries ES</t>
  </si>
  <si>
    <t>CL-2010-302</t>
  </si>
  <si>
    <t>Eva G. Simmons ES</t>
  </si>
  <si>
    <t>CL-2010-303</t>
  </si>
  <si>
    <t>Wendell P. Williams ES</t>
  </si>
  <si>
    <t>CL-2010-304</t>
  </si>
  <si>
    <t>Install Traffic Signal, Kyle Canyon Fire Station</t>
  </si>
  <si>
    <t>CL-2010-305</t>
  </si>
  <si>
    <t>BC</t>
  </si>
  <si>
    <t>Runway '15-33; Safety Enhancement</t>
  </si>
  <si>
    <t>CL-2010-306</t>
  </si>
  <si>
    <t>Fast Trac Electric</t>
  </si>
  <si>
    <t>Burkholder Boulevard/Racetrack Road Traffic</t>
  </si>
  <si>
    <t>CL-2010-307</t>
  </si>
  <si>
    <t>2010 Pavement Main Fence Project Phase II</t>
  </si>
  <si>
    <t>CL-2010-308</t>
  </si>
  <si>
    <t>West Lobby, Restroom Renovation-CMAR</t>
  </si>
  <si>
    <t>CL-2010-309</t>
  </si>
  <si>
    <t>Clark Place Plate and Frame</t>
  </si>
  <si>
    <t>CL-2010-310</t>
  </si>
  <si>
    <t>Losee Road Sewer Line Phase 2A</t>
  </si>
  <si>
    <t>NY-2010-311</t>
  </si>
  <si>
    <t>Simkins Park Project</t>
  </si>
  <si>
    <t>ES-2010-312</t>
  </si>
  <si>
    <t>Solar PV Sytems</t>
  </si>
  <si>
    <t>CL-2010-313</t>
  </si>
  <si>
    <t>HVAC School Modernization @ Lunt ES</t>
  </si>
  <si>
    <t>CL-2010-314</t>
  </si>
  <si>
    <t>HVAC School Modernization @ Lynch ES</t>
  </si>
  <si>
    <t>CL-2010-315</t>
  </si>
  <si>
    <t>Hasco, Inc.</t>
  </si>
  <si>
    <t xml:space="preserve">Gymnasium Bleacher Replacement @ Chaparral High </t>
  </si>
  <si>
    <t>CL-2010-316</t>
  </si>
  <si>
    <t>Tropicana-Flamingo Wash Trail-Phase II   601921-10</t>
  </si>
  <si>
    <t>CL-2010-317</t>
  </si>
  <si>
    <t>ITS Communication Infrastructure Corridor 1A</t>
  </si>
  <si>
    <t>CL-2010-318</t>
  </si>
  <si>
    <t>Las Vegas Valley Water District-2010 On-Call Services Contract</t>
  </si>
  <si>
    <t>CL-2010-319</t>
  </si>
  <si>
    <t>Lower Flamingo Detention Basin and Tropicana/Deactur Park</t>
  </si>
  <si>
    <t>CL-2010-320</t>
  </si>
  <si>
    <t>Fast System</t>
  </si>
  <si>
    <t>Instructional Wall Upgrade @ James Gibson ES</t>
  </si>
  <si>
    <t>CL-2010-321</t>
  </si>
  <si>
    <t>CCPA</t>
  </si>
  <si>
    <t>CL-2010-322</t>
  </si>
  <si>
    <t>Meadow Valley Contractors, Inc.</t>
  </si>
  <si>
    <t>Northern CC-215 Bruce Woodbury Beltway-North 5th Street Interchange</t>
  </si>
  <si>
    <t>CL-2010-323</t>
  </si>
  <si>
    <t>Boulder City RR Museum ADA Restrooms</t>
  </si>
  <si>
    <t>CL-2010-324</t>
  </si>
  <si>
    <t>Accurate Controls, Inc.</t>
  </si>
  <si>
    <t>Contract For Upgraded Video Visitation System for the Clark County Detention Center</t>
  </si>
  <si>
    <t>CL-2010-325</t>
  </si>
  <si>
    <t>Expand Parking Area @ Zel Lowman ES</t>
  </si>
  <si>
    <t>CL-2010-326</t>
  </si>
  <si>
    <t>Expand Parking and Install CMU Wall @ Lynch ES</t>
  </si>
  <si>
    <t>CL-2010-327</t>
  </si>
  <si>
    <t>Overton to Payne Foundations</t>
  </si>
  <si>
    <t>CL-2010-328</t>
  </si>
  <si>
    <t>J N J Engineering Construction, Inc.</t>
  </si>
  <si>
    <t>Tropical Durango Park Phase 1&amp;2</t>
  </si>
  <si>
    <t>CL-2010-329</t>
  </si>
  <si>
    <t>Fremont Construction</t>
  </si>
  <si>
    <t>DJJS Recreation Area: Shade Structures and Basketball Courts Resurfacing</t>
  </si>
  <si>
    <t>CL-2010-330</t>
  </si>
  <si>
    <t>First ST. Beautification-Boulder Ave to Hoover Ave</t>
  </si>
  <si>
    <t>CL-2010-331</t>
  </si>
  <si>
    <t>Cooling Tower Replacement William S. Boyd School of Law</t>
  </si>
  <si>
    <t>CL-2010-332</t>
  </si>
  <si>
    <t>Miscellanous Improvements, Valley of Sire Visitor Center</t>
  </si>
  <si>
    <t>CL-2010-333</t>
  </si>
  <si>
    <t>Flamingo Boulder Highway North Sahara Ave. To Flamingo Wash</t>
  </si>
  <si>
    <t>CL-2010-334</t>
  </si>
  <si>
    <t>SILVER ST PAVEMENT RESURFACING 5th TO IDAHO</t>
  </si>
  <si>
    <t>LY-2010-77</t>
  </si>
  <si>
    <t>CANCELED 5/5/10</t>
  </si>
  <si>
    <t>WATER &amp; SEWER EXPLORATORY DRILLING</t>
  </si>
  <si>
    <t>WA-2010-78</t>
  </si>
  <si>
    <t>MKD CONSTRUCTION INC</t>
  </si>
  <si>
    <t>HIGHLAND CANAL LINING-MESA PARKE</t>
  </si>
  <si>
    <t>Bus Turnout Project FY2005</t>
  </si>
  <si>
    <t>CL-2010-336</t>
  </si>
  <si>
    <t>Town Wash Conveyance, I-15 to the Virgin River</t>
  </si>
  <si>
    <t>CL-2010-337</t>
  </si>
  <si>
    <t>Pahor Mechanical Contractors, LLC</t>
  </si>
  <si>
    <t>HVAC School Moderniaztion @ Mack Lyon ES</t>
  </si>
  <si>
    <t>CL-2010-338</t>
  </si>
  <si>
    <t>ST-2010-79</t>
  </si>
  <si>
    <t>Decatur Blvd Street Rehabilitation-Additional Bus Turnouts Sahara Ave to Alta</t>
  </si>
  <si>
    <t>CL-2010-339</t>
  </si>
  <si>
    <t>CC 215 Beltway Improvements (Eastern Interchange Landscape)</t>
  </si>
  <si>
    <t>CL-2010-340</t>
  </si>
  <si>
    <t>On-Call Major Pavement Replacement Services</t>
  </si>
  <si>
    <t>CL-2010-341</t>
  </si>
  <si>
    <t>Asbestos Abatement and Demolition Stupak Center</t>
  </si>
  <si>
    <t>CL-2010-342</t>
  </si>
  <si>
    <t>Environmental Assurance, LLC</t>
  </si>
  <si>
    <t>Asbestos Abatement and Demolition Bonneville and Clark Connector</t>
  </si>
  <si>
    <t>CL-2010-343</t>
  </si>
  <si>
    <t>Silver Springs Park</t>
  </si>
  <si>
    <t>CL-2010-344</t>
  </si>
  <si>
    <t>R-Coat Painting &amp; Drywall, Inc.</t>
  </si>
  <si>
    <t>Family Court 3rd Floor-Tenant Improvements</t>
  </si>
  <si>
    <t>CL-2010-345</t>
  </si>
  <si>
    <t>On-Call Minor Pavement Replacement Services</t>
  </si>
  <si>
    <t>CL-2010-346</t>
  </si>
  <si>
    <t>Maile, Inc.</t>
  </si>
  <si>
    <t xml:space="preserve">On-Call Concrete Replacement and Miscellaneous Services </t>
  </si>
  <si>
    <t>CL-2010-347</t>
  </si>
  <si>
    <t>Advanced Clinical Training and Research Center, Parking Lot</t>
  </si>
  <si>
    <t>NY-2010-348</t>
  </si>
  <si>
    <t>NYC</t>
  </si>
  <si>
    <t>Valley Slurry Seal Co.</t>
  </si>
  <si>
    <t>Pahrump Chip Seal</t>
  </si>
  <si>
    <t>NY-2010-349</t>
  </si>
  <si>
    <t>Slurry Seal-Beatty/Amargosa</t>
  </si>
  <si>
    <t>NY-2010-350</t>
  </si>
  <si>
    <t>Type 2 Gravel-Pahrump</t>
  </si>
  <si>
    <t>CL-2010-351</t>
  </si>
  <si>
    <t>Morrell Park ADA Improvements</t>
  </si>
  <si>
    <t>NY-2010-352</t>
  </si>
  <si>
    <t>Nye County Detention Center-Pahrump</t>
  </si>
  <si>
    <t>CL-2010-353</t>
  </si>
  <si>
    <t>ADA Upgrades, DRC Building 1302</t>
  </si>
  <si>
    <t>CL-2010-354</t>
  </si>
  <si>
    <t>Theater Seating @ Valley High School</t>
  </si>
  <si>
    <t>CL-2010-355</t>
  </si>
  <si>
    <t>Bonanza Trail-Phase 2</t>
  </si>
  <si>
    <t>CL-2010-356</t>
  </si>
  <si>
    <t>Vegas Valley Locking Systems, Inc.</t>
  </si>
  <si>
    <t>Door Access Control Retrofits at City Facilities</t>
  </si>
  <si>
    <t>CL-2010-357</t>
  </si>
  <si>
    <t>Clark Construction Group</t>
  </si>
  <si>
    <t>UNLV Greenspun Building, Computer Room 1275 AC Units</t>
  </si>
  <si>
    <t>CL-2010-358</t>
  </si>
  <si>
    <t>Football Field Lighting Upgrade @ Basic High School</t>
  </si>
  <si>
    <t>CL-2010-359</t>
  </si>
  <si>
    <t>General market Bus Shelter Pad Construction/Assembly &amp; Installation of Owner Provided Bus Shelter</t>
  </si>
  <si>
    <t>CL-2010-360</t>
  </si>
  <si>
    <t>2010 On-Call Services for Electrical Power Distribution Equipment</t>
  </si>
  <si>
    <t>CL-2010-361</t>
  </si>
  <si>
    <t>site "A" Dry Utility Relocations</t>
  </si>
  <si>
    <t>CL-2010-362</t>
  </si>
  <si>
    <t>Integrated Bus Maintenance Facility (IBMF) Electronic Security Systems Upgrade</t>
  </si>
  <si>
    <t>CL-2010-363</t>
  </si>
  <si>
    <t>280 Water Street Building Remodel</t>
  </si>
  <si>
    <t>CL-2010-364</t>
  </si>
  <si>
    <t>Schneider Electric</t>
  </si>
  <si>
    <t xml:space="preserve">Security Camera Systems Upgrades @ City Hall </t>
  </si>
  <si>
    <t>CL-2010-365</t>
  </si>
  <si>
    <t>Polethylene Services Replacement, Laughlin-Phase II, Laughlin Estates</t>
  </si>
  <si>
    <t>CL-2010-366</t>
  </si>
  <si>
    <t>Transcore Its, LLC</t>
  </si>
  <si>
    <t>Annual Taffic Signal Maintenance</t>
  </si>
  <si>
    <t>CL-2010-367</t>
  </si>
  <si>
    <t>C-Gates Passenger Loading Bridge Relocation</t>
  </si>
  <si>
    <t>CL-2010-368</t>
  </si>
  <si>
    <t>NW Substation Project</t>
  </si>
  <si>
    <t>CL-2010-369</t>
  </si>
  <si>
    <t>Roof Replacement- A&amp;B Concourses, Cluster Buildings &amp; ARFF Station</t>
  </si>
  <si>
    <t>CL-2010-370</t>
  </si>
  <si>
    <t>Ann Road Special Improvement District</t>
  </si>
  <si>
    <t>CL-2010-371</t>
  </si>
  <si>
    <t>Spirit Underground</t>
  </si>
  <si>
    <t>Traffic Signal System At Hualapai Way/Tropicana Ave</t>
  </si>
  <si>
    <t>CL-2010-372</t>
  </si>
  <si>
    <t>Vegas Valley Drive Sewer Rehabilitation</t>
  </si>
  <si>
    <t>NY-2010-373</t>
  </si>
  <si>
    <t>Football Field Turf Replacement @ Pahrump Valley High School</t>
  </si>
  <si>
    <t>CL-2010-374</t>
  </si>
  <si>
    <t xml:space="preserve">Hufcor Nevada </t>
  </si>
  <si>
    <t>Gymnasium Bleacher Replacement @ Clark HS</t>
  </si>
  <si>
    <t>CL-2010-375</t>
  </si>
  <si>
    <t>RJC 3rd Floor Court Room &amp; 4th Floor-Tenant Improvement</t>
  </si>
  <si>
    <t>CL-2010-376</t>
  </si>
  <si>
    <t>12 Playground Shade Covers @ Multiple Locations</t>
  </si>
  <si>
    <t>CL-2010-377</t>
  </si>
  <si>
    <t>Bus Shelters 2009</t>
  </si>
  <si>
    <t>CL-2010-378</t>
  </si>
  <si>
    <t xml:space="preserve">WRF Roof Replacement </t>
  </si>
  <si>
    <t>CL-2010-379</t>
  </si>
  <si>
    <t>Metal Lockers @ Southeast Career and Technical Academy</t>
  </si>
  <si>
    <t>CL-2010-380</t>
  </si>
  <si>
    <t>Drill and Develop Searchlight Well No. S-4</t>
  </si>
  <si>
    <t>CL-2010-381</t>
  </si>
  <si>
    <t>Canceled New PWP 2011-11</t>
  </si>
  <si>
    <t>Roof Replacement @ Halle Hewetson ES</t>
  </si>
  <si>
    <t>CL-2010-382</t>
  </si>
  <si>
    <t>Canceled New PWP 2011-12</t>
  </si>
  <si>
    <t>Roof Replacement @ John Park ES</t>
  </si>
  <si>
    <t>CL-2010-383</t>
  </si>
  <si>
    <t>Canceled New PWP 2011-13</t>
  </si>
  <si>
    <t>Roof Replacement @ Frank Garside MS</t>
  </si>
  <si>
    <t>CL-2010-384</t>
  </si>
  <si>
    <t>Canceled New PWP 2011-14</t>
  </si>
  <si>
    <t>Roof Replacement @ Lomie Heard ES</t>
  </si>
  <si>
    <t>CL-2010-385</t>
  </si>
  <si>
    <t>LAN and Instructional Media Upgrade @ Bonanza HS</t>
  </si>
  <si>
    <t>CL-2010-386</t>
  </si>
  <si>
    <t>LAN and Instructional Media Upgrade @ Adams ES</t>
  </si>
  <si>
    <t>CL-2010-387</t>
  </si>
  <si>
    <t>New PWP CL-2010-36</t>
  </si>
  <si>
    <t>ADA Access Bus Stop improvements</t>
  </si>
  <si>
    <t>CL-2010-388</t>
  </si>
  <si>
    <t>Spring  Mountain Youth Camp Dormitories</t>
  </si>
  <si>
    <t>CL-2010-389</t>
  </si>
  <si>
    <t>Sludge Dewatering Building Rehabilitation</t>
  </si>
  <si>
    <t>LI-2010-390</t>
  </si>
  <si>
    <t>Well control Building &amp; Misc. Piping</t>
  </si>
  <si>
    <t>CL-2010-391</t>
  </si>
  <si>
    <t>HVAC Improvements @ North Las Vegas Airport</t>
  </si>
  <si>
    <t>CL-2010-392</t>
  </si>
  <si>
    <t>LAN and Instrusion Alarm Systems Upgrade</t>
  </si>
  <si>
    <t>CL-2010-393</t>
  </si>
  <si>
    <t>Amargosa Pedestrian Bride Over St. Rose Parkway</t>
  </si>
  <si>
    <t>CL-2010-394</t>
  </si>
  <si>
    <t>Street Light Efficiency Improvement Project 2010</t>
  </si>
  <si>
    <t>CL-2010-395</t>
  </si>
  <si>
    <t>Furnish and Install Telecommunications Infrastructure</t>
  </si>
  <si>
    <t>CL-2010-396</t>
  </si>
  <si>
    <t>2010-2011 Streetlight Knocked and Replacement Program</t>
  </si>
  <si>
    <t>CL-2010-397</t>
  </si>
  <si>
    <t>Bicentennial Park Restroom</t>
  </si>
  <si>
    <t>CL-2010-398</t>
  </si>
  <si>
    <t>Warm Springs Between Boulder Highway and Lake Mead Parkway</t>
  </si>
  <si>
    <t>CL-2010-399</t>
  </si>
  <si>
    <t>Eldorado Valley Regional Public Safety Training Facility Fencing</t>
  </si>
  <si>
    <t>NY-2010-400</t>
  </si>
  <si>
    <t>Pahrump Valley High School Addition and Remodel</t>
  </si>
  <si>
    <t>NY-2010-401</t>
  </si>
  <si>
    <t>Manse Elementary School (New Construction)</t>
  </si>
  <si>
    <t>ES-2010-402</t>
  </si>
  <si>
    <t>Goldfield Arsenic Treatment Project</t>
  </si>
  <si>
    <t>CL-2010-403</t>
  </si>
  <si>
    <t>CMAR Jones &amp; Valley View Corridor Improvements</t>
  </si>
  <si>
    <t>CL-2010-404</t>
  </si>
  <si>
    <t>Boiler Replacement, Southern Desert Correctional Center</t>
  </si>
  <si>
    <t>CL-2010-405</t>
  </si>
  <si>
    <t>2010 Arterial Reconstruction Program Phase 2</t>
  </si>
  <si>
    <t>CL-2010-406</t>
  </si>
  <si>
    <t>City of Henderson</t>
  </si>
  <si>
    <t>CL-2010-407</t>
  </si>
  <si>
    <t>Roof Replacement-West Las Vegas Library</t>
  </si>
  <si>
    <t>CL-2010-408</t>
  </si>
  <si>
    <t>Chuck Minker Sprinkler Installation</t>
  </si>
  <si>
    <t>NY-2010-409</t>
  </si>
  <si>
    <t>Buildings&amp;Grounds Septic System-Phase 1 of Bldg Project</t>
  </si>
  <si>
    <t>NY-2010-409-B</t>
  </si>
  <si>
    <t>Building and Grounds Facility Erection and Concrete Work (Phase II)</t>
  </si>
  <si>
    <t>CL-2010-410</t>
  </si>
  <si>
    <t>Municipal Court Addition</t>
  </si>
  <si>
    <t>NY-2010-411</t>
  </si>
  <si>
    <t>Gabbs Exploratory Well</t>
  </si>
  <si>
    <t>CL-2010-412</t>
  </si>
  <si>
    <t>County parking Garage Structural Stabilization</t>
  </si>
  <si>
    <t>CL-2010-413</t>
  </si>
  <si>
    <t>11 shade Covers @ Multiple Locations</t>
  </si>
  <si>
    <t>CL-2010-414</t>
  </si>
  <si>
    <t>Annual Requirements Contract for Routine Electrical Services Countywide</t>
  </si>
  <si>
    <t>CL-2010-415</t>
  </si>
  <si>
    <t>Galleria Road Improvements Phase 3-Boulder Hwy to Burns Rd</t>
  </si>
  <si>
    <t>CL-2010-416</t>
  </si>
  <si>
    <t>Furnish and Install Escalator Steps</t>
  </si>
  <si>
    <t>CL-2010-417</t>
  </si>
  <si>
    <t>Fencing State Land, North Las Vegas Readiness Center &amp; Las Vegas Readiness Center</t>
  </si>
  <si>
    <t>CL-2010-418</t>
  </si>
  <si>
    <t>C-Gates Modernization Project</t>
  </si>
  <si>
    <t>CL-2010-419</t>
  </si>
  <si>
    <t>City of Henderson Council Chambers A/V Upgrades</t>
  </si>
  <si>
    <t>CL-2010-420</t>
  </si>
  <si>
    <t>Robert E. "Bob " Price Park</t>
  </si>
  <si>
    <t>CL-2010-421</t>
  </si>
  <si>
    <t>Coyote Springs Communication Tower Installation</t>
  </si>
  <si>
    <t>CL-2010-422</t>
  </si>
  <si>
    <t>Mountain Springs Communication Tower Installation</t>
  </si>
  <si>
    <t>CL-2010-423</t>
  </si>
  <si>
    <t>New Readiness Center</t>
  </si>
  <si>
    <t>CL-2010-424</t>
  </si>
  <si>
    <t>Lighting Retrofits @ Various Location- ARRA</t>
  </si>
  <si>
    <t>CL-2010-425</t>
  </si>
  <si>
    <t>Central Substation Replacement</t>
  </si>
  <si>
    <t>CL-2010-426</t>
  </si>
  <si>
    <t>CL-2010-427</t>
  </si>
  <si>
    <t>CL-2010-428</t>
  </si>
  <si>
    <t>CSN Lab Revision &amp; Main Bldg. Fire Alarm</t>
  </si>
  <si>
    <t>CL-2010-429</t>
  </si>
  <si>
    <t>Countywide Contractor For On-Call Construction Services 602059</t>
  </si>
  <si>
    <t>CL-2011-1</t>
  </si>
  <si>
    <t>Indian Springs Wastewater Treatment System Upgrades</t>
  </si>
  <si>
    <t>CL-2011-2</t>
  </si>
  <si>
    <t>CWC-900 System Conveyance &amp; Operations Program (SCOP)-"Reach 5 Pipline"</t>
  </si>
  <si>
    <t>CL-2011-3</t>
  </si>
  <si>
    <t>Enterprise Water Resousce Center Site Development Package 2</t>
  </si>
  <si>
    <t>CL-2011-4</t>
  </si>
  <si>
    <t>Upper Las Vegas Wash Trail Phase #2</t>
  </si>
  <si>
    <t>CL-2011-5</t>
  </si>
  <si>
    <t>Starr/Executive Airport/Volunteer/Via Inspirada</t>
  </si>
  <si>
    <t>CL-2011-6</t>
  </si>
  <si>
    <t>River Mountain Loop Trail Segent 14</t>
  </si>
  <si>
    <t>CL-2011-7</t>
  </si>
  <si>
    <t xml:space="preserve">CC </t>
  </si>
  <si>
    <t>McCarran Rent-A-Car Center Tile Replacement</t>
  </si>
  <si>
    <t>CL-2011-8</t>
  </si>
  <si>
    <t xml:space="preserve">Major Street Rehabilitation </t>
  </si>
  <si>
    <t>CL-2011-9</t>
  </si>
  <si>
    <t>Theater Conversion/New Elevator @ Chaparral HS</t>
  </si>
  <si>
    <t>CL-2011-10</t>
  </si>
  <si>
    <t>VGT Apron Improvements</t>
  </si>
  <si>
    <t>CL-2011-11</t>
  </si>
  <si>
    <t>CL-2011-12</t>
  </si>
  <si>
    <t>CL-2011-13</t>
  </si>
  <si>
    <t>CL-2011-14</t>
  </si>
  <si>
    <t>CL-2011-15</t>
  </si>
  <si>
    <t>Roof Replacement @ Doriders ES</t>
  </si>
  <si>
    <t>CL-2011-16</t>
  </si>
  <si>
    <t>Roof Replacement @ Harris ES</t>
  </si>
  <si>
    <t>CL-2011-17</t>
  </si>
  <si>
    <t>Roof Replacement @ Tate ES</t>
  </si>
  <si>
    <t>CL-2011-18</t>
  </si>
  <si>
    <t>Roof Replacement @ Tomiyasu ES</t>
  </si>
  <si>
    <t>CL-2011-19</t>
  </si>
  <si>
    <t>LAN Upgrade @ Marc Kahre ES</t>
  </si>
  <si>
    <t>CL-2011-20</t>
  </si>
  <si>
    <t>LAN Upgrade @ Jack Dailey ES</t>
  </si>
  <si>
    <t>CL-2011-21</t>
  </si>
  <si>
    <t>LAN Upgrade @ Nate Mack ES</t>
  </si>
  <si>
    <t>CL-2011-22</t>
  </si>
  <si>
    <t>LAN Upgrade @ Ann Lynch ES</t>
  </si>
  <si>
    <t>CL-2011-23</t>
  </si>
  <si>
    <t>DU Wetlands No. 1 Weir</t>
  </si>
  <si>
    <t>CL-2011-24</t>
  </si>
  <si>
    <t>Cactus 2538 Zone Reservoir On-Site Improvements</t>
  </si>
  <si>
    <t>CL-2011-25</t>
  </si>
  <si>
    <t>LAN Upgrade @ Edythe &amp; Lloyd Kats ES</t>
  </si>
  <si>
    <t>CL-2011-26</t>
  </si>
  <si>
    <t>LAN Upgrade @ Gwendolyn Woolley ES</t>
  </si>
  <si>
    <t>CL-2011-27</t>
  </si>
  <si>
    <t>North 5th Street Improvement, Phase 1C</t>
  </si>
  <si>
    <t>CL-2011-28</t>
  </si>
  <si>
    <t>IS Server Room Air Conditioning</t>
  </si>
  <si>
    <t>CL-2011-29</t>
  </si>
  <si>
    <t>Intrusion Alarm Upgrade</t>
  </si>
  <si>
    <t>CL-2011-30</t>
  </si>
  <si>
    <t>School Modernization @ Grant Bowler ES</t>
  </si>
  <si>
    <t>CL-2011-31</t>
  </si>
  <si>
    <t>Clock/Intercom System Replacement @ John Dooley ES</t>
  </si>
  <si>
    <t>CL-2011-32</t>
  </si>
  <si>
    <t>Clcok/Intercom System Replacment @ Clyde Cox ES</t>
  </si>
  <si>
    <t>CL-2011-33</t>
  </si>
  <si>
    <t>Temperature Controls Upgrade-Sahara DMV</t>
  </si>
  <si>
    <t>CL-2011-34</t>
  </si>
  <si>
    <t>Duck Creek Mountain Vista Street to Green Valley</t>
  </si>
  <si>
    <t>CL-2011-35</t>
  </si>
  <si>
    <t>WWTP No. 3 Decommission and Demolition Project-Phase 2</t>
  </si>
  <si>
    <t>CL-2011-36</t>
  </si>
  <si>
    <t>CL-2011-38</t>
  </si>
  <si>
    <t>Gowan Outfall, Lone Mountain Branch, Rancho Dr. to Decatur Blvd Lone Mtn. Rd from Rancho to Decatur &amp; Rancho from Lone Mtn. To Rainbow</t>
  </si>
  <si>
    <t>CL-2011-39</t>
  </si>
  <si>
    <t>Marion Street, vegas Valley Drive to Karen Ave</t>
  </si>
  <si>
    <t>CL-2011-40</t>
  </si>
  <si>
    <t>UNLV Potable Water System Improvements</t>
  </si>
  <si>
    <t>Total 2009</t>
  </si>
  <si>
    <t>Year 2010</t>
  </si>
  <si>
    <t>Total 2010</t>
  </si>
  <si>
    <t>Year 2011</t>
  </si>
  <si>
    <t>Total 2011</t>
  </si>
  <si>
    <t>2009 Total South Public Works Projects</t>
  </si>
  <si>
    <t>2010 Total South Public Works Projects</t>
  </si>
  <si>
    <t>2011 Total South Public Works Projects</t>
  </si>
  <si>
    <t>note as of October 1, 2010</t>
  </si>
  <si>
    <t>GARDNERVILLE TOWN BOARD</t>
  </si>
  <si>
    <t>CITY OF FERNLEY</t>
  </si>
  <si>
    <t>MARV MCQUEARY EXCAVATING</t>
  </si>
  <si>
    <t>WASHOE CO PUBIC WORKS</t>
  </si>
  <si>
    <t>CITY OF RENO</t>
  </si>
  <si>
    <t>WA-2009-6</t>
  </si>
  <si>
    <t>STATE PUBLIC WORKS BOARD</t>
  </si>
  <si>
    <t>CLARK &amp; SULLIVAN CONSTRUCTORS</t>
  </si>
  <si>
    <t>UNR CENTER FOR MOLECULAR MEDCINE, NEW LABORATORY/ MEDICAL OFFICE BUILDING</t>
  </si>
  <si>
    <t xml:space="preserve">WEST COAST CONTRACTORS OF NV </t>
  </si>
  <si>
    <t>GRANITE CONSTRUCTION CO</t>
  </si>
  <si>
    <t>SIERRA NEVADA CONSTRUCTION INC</t>
  </si>
  <si>
    <t>ATLAS CONTRACTORS INC</t>
  </si>
  <si>
    <t>TMWA</t>
  </si>
  <si>
    <t xml:space="preserve">RENO-TAHOE CONSTRUCTION </t>
  </si>
  <si>
    <t>UNDER 100,000</t>
  </si>
  <si>
    <t>WA-2009-14</t>
  </si>
  <si>
    <t>WASHOE CO SCHOOL DIST</t>
  </si>
  <si>
    <t>RHP MECHANICAL SYSTEMS</t>
  </si>
  <si>
    <t>MDF COOLING RETROFIT AT 6 SCHOOLS</t>
  </si>
  <si>
    <t>ALPINE ENERGY</t>
  </si>
  <si>
    <t>NSHE/UNR</t>
  </si>
  <si>
    <t>ELKO COUNTY</t>
  </si>
  <si>
    <t>RESOURCE DEVELOPMENT CO</t>
  </si>
  <si>
    <t>CITY OF WEST WENDOVER</t>
  </si>
  <si>
    <t>CHURCHILL CO COMMISSIONERS</t>
  </si>
  <si>
    <t>WA-2009-27</t>
  </si>
  <si>
    <t>Q &amp; D CONSTRUCTION INC</t>
  </si>
  <si>
    <t>APPLIED RESEARCH FACILITY RM 315 LAB REMODEL</t>
  </si>
  <si>
    <t>PEAVINE CONSTRUCTION</t>
  </si>
  <si>
    <t>CC-2009-30</t>
  </si>
  <si>
    <t>NSHE/WNC</t>
  </si>
  <si>
    <t>WNCBRISTLECONE PINE BLUILDING CHILLER REPLACEMENT</t>
  </si>
  <si>
    <t>CITY OF ELY</t>
  </si>
  <si>
    <t>CANYON GID</t>
  </si>
  <si>
    <t>WASHOE CO RTC</t>
  </si>
  <si>
    <t>WEST COAST PAVING</t>
  </si>
  <si>
    <t>INTERMOUNTAIN SLURRY SEAL</t>
  </si>
  <si>
    <t>CARSON CITY RTC</t>
  </si>
  <si>
    <t>CC BOARD OF SUPERVISORS</t>
  </si>
  <si>
    <t>CITY OF SPARKS</t>
  </si>
  <si>
    <t>CL-2009-155</t>
  </si>
  <si>
    <t xml:space="preserve">TS-560A-P02 Moapa Valley Collection System - Lift Station </t>
  </si>
  <si>
    <t>CL-2009-156</t>
  </si>
  <si>
    <t xml:space="preserve">TS-560A-P01 Moapa Valley Collection System - Gravity Sewer Overton and Longdale </t>
  </si>
  <si>
    <t>CL-2009-157</t>
  </si>
  <si>
    <t xml:space="preserve">Ryan Mechcanical Inc </t>
  </si>
  <si>
    <t xml:space="preserve">0011844 HVAC and Plumbing Modernization </t>
  </si>
  <si>
    <t>CL-2009-158</t>
  </si>
  <si>
    <t xml:space="preserve">Las Vegas Paving Corp </t>
  </si>
  <si>
    <t xml:space="preserve">2005-86-0029 Major Avenue Rehab - Van Wagenen to Warm Springs </t>
  </si>
  <si>
    <t>CL-2009-159</t>
  </si>
  <si>
    <t xml:space="preserve">810G 01 C1 Duck Creek Confluence and Upper Narrows Weirs </t>
  </si>
  <si>
    <t xml:space="preserve">CL-2009-160 </t>
  </si>
  <si>
    <t xml:space="preserve">07-M24 Door Control Panels Fire Door Replacement </t>
  </si>
  <si>
    <t>CL-2009-161</t>
  </si>
  <si>
    <t xml:space="preserve">PCOH 8008860047 COH Water Treatment Plant Granular Activated Carbon </t>
  </si>
  <si>
    <t>CL-2009-162</t>
  </si>
  <si>
    <t>CANCELED</t>
  </si>
  <si>
    <t xml:space="preserve">2331-2 T-3 Concourse 1213 Bottleneck Power Project </t>
  </si>
  <si>
    <t xml:space="preserve">Caneled </t>
  </si>
  <si>
    <t>CL-2009-163</t>
  </si>
  <si>
    <t>CANCELED NEW PWP 2010-98</t>
  </si>
  <si>
    <t xml:space="preserve">2008-86-0014 Miscellaneous Sanitary Sewer Protection Improvements Various Locations </t>
  </si>
  <si>
    <t>CL-2009-164</t>
  </si>
  <si>
    <t xml:space="preserve">09.1730.16-TF N Street Improvements-Jefferson Avenue to Madison Avenue </t>
  </si>
  <si>
    <t>24/08</t>
  </si>
  <si>
    <t>NY-2009-168</t>
  </si>
  <si>
    <t xml:space="preserve">Wulfenstein Construction Company Inc. </t>
  </si>
  <si>
    <t xml:space="preserve">2008-42 Homestead Road Widening </t>
  </si>
  <si>
    <t>NY-2009-169</t>
  </si>
  <si>
    <t xml:space="preserve">2008-41 Amargosa Valley Science &amp; Technology Park Building </t>
  </si>
  <si>
    <t xml:space="preserve">CL-2009-170 </t>
  </si>
  <si>
    <t>09.1730.29-LED Las Vegas Wash Trail Phase 1</t>
  </si>
  <si>
    <t xml:space="preserve">CL-2009-171 </t>
  </si>
  <si>
    <t xml:space="preserve">0010996 HVAC &amp; Plumbing Modernization Helen Cannon Middle School </t>
  </si>
  <si>
    <t>CL-2009-172</t>
  </si>
  <si>
    <t xml:space="preserve">09.1762.01-TRF Annual Slurry Seal </t>
  </si>
  <si>
    <t>CL-2009-173</t>
  </si>
  <si>
    <t xml:space="preserve">CWC-1100 Site Prepartation </t>
  </si>
  <si>
    <t xml:space="preserve">                                CL-2009-174</t>
  </si>
  <si>
    <t>Awarded Under 100,000</t>
  </si>
  <si>
    <t xml:space="preserve">0012022 Replace State Floor &amp; Curtains </t>
  </si>
  <si>
    <t>CL-2009-175</t>
  </si>
  <si>
    <t xml:space="preserve">Capriati Construction Corporation Inc </t>
  </si>
  <si>
    <t xml:space="preserve">840A 00 A1 Fire Station Weir Bank Protection Maintenance </t>
  </si>
  <si>
    <t>CL-2009-176</t>
  </si>
  <si>
    <t xml:space="preserve">131-08-PR-166-002 Arroyo Grande Fields #5-8 SOD Replacement </t>
  </si>
  <si>
    <t>CL-2009-177</t>
  </si>
  <si>
    <t xml:space="preserve">C1307 Rampart/Alta Pipeline Relocation, Phase I </t>
  </si>
  <si>
    <t>CL-2009-178</t>
  </si>
  <si>
    <t xml:space="preserve">J.F. Pacific Liners, Inc </t>
  </si>
  <si>
    <t xml:space="preserve">Project 627 Comprehensive System Wide Inspection Program </t>
  </si>
  <si>
    <t>CL-2009-179</t>
  </si>
  <si>
    <t xml:space="preserve">R &amp; O Construction Company </t>
  </si>
  <si>
    <t xml:space="preserve">Pinto Campus Social Service 1st and 2nd Floor - Tenant Improvements </t>
  </si>
  <si>
    <t>NY-2009-180</t>
  </si>
  <si>
    <t xml:space="preserve">2009-01 Smoky Valley Arena Shelters Pahrump Nevada </t>
  </si>
  <si>
    <t>CL-2009-181</t>
  </si>
  <si>
    <t>MVWD</t>
  </si>
  <si>
    <t xml:space="preserve">Various </t>
  </si>
  <si>
    <t xml:space="preserve">0027-93-01 Bowman Reservoir Discharge </t>
  </si>
  <si>
    <t>CL-2009-182</t>
  </si>
  <si>
    <t xml:space="preserve">B601411-09 Silverado Ranch Boulevard From Decatur Boulevard to Valley View Boulevard </t>
  </si>
  <si>
    <t>CL-2009-183</t>
  </si>
  <si>
    <t xml:space="preserve">Wheeler's Electric Inc </t>
  </si>
  <si>
    <t xml:space="preserve">B601412-08 2009 School Flasher Improvements </t>
  </si>
  <si>
    <t>CL-2009-184</t>
  </si>
  <si>
    <t xml:space="preserve">Savanic Transport Inc </t>
  </si>
  <si>
    <t xml:space="preserve">09-0763-MC Cemetery Paving - 2009 </t>
  </si>
  <si>
    <t>CL-2009-185</t>
  </si>
  <si>
    <t xml:space="preserve">Frehner Construction Co., Inc. </t>
  </si>
  <si>
    <t xml:space="preserve">2291 Terminal 1 Roadway Reconfiguration </t>
  </si>
  <si>
    <t>CL-2009-186</t>
  </si>
  <si>
    <t xml:space="preserve">07-C89 UNLV Shadow Lane Biomedical Research Building </t>
  </si>
  <si>
    <t>CL-2009-187</t>
  </si>
  <si>
    <t xml:space="preserve">Danoski Clutts Building Group LLC </t>
  </si>
  <si>
    <t xml:space="preserve">08.15341.12-TF Doc Romeo Park/Majestic Park Scoreboards </t>
  </si>
  <si>
    <t>CL-2009-188</t>
  </si>
  <si>
    <t xml:space="preserve">05-C67L(A) UNLV Student Services Bursar Office Remodel </t>
  </si>
  <si>
    <t>CL-2009-189</t>
  </si>
  <si>
    <t xml:space="preserve">B601415-09 Harmon Avenue Relocation Las Vegas Boulevard to Koval Lane </t>
  </si>
  <si>
    <t>CL-2009-190</t>
  </si>
  <si>
    <t xml:space="preserve">Sletten Construction of Nevada, Inc. </t>
  </si>
  <si>
    <t xml:space="preserve">131-08-MF-058-002 City of Henderson Detention Center Expansion </t>
  </si>
  <si>
    <t>CL-2009-190-B</t>
  </si>
  <si>
    <t>Detention Center Expansion-Air Blown Fiber Installation</t>
  </si>
  <si>
    <t>CL-2009-191</t>
  </si>
  <si>
    <t>NCSD</t>
  </si>
  <si>
    <t xml:space="preserve">Football Field Lighting Audio System &amp; Security System Pahrump Valley High School </t>
  </si>
  <si>
    <t>CL-2009-192</t>
  </si>
  <si>
    <t>MCC</t>
  </si>
  <si>
    <t xml:space="preserve">Las Vegas Paving </t>
  </si>
  <si>
    <t xml:space="preserve">PW 2009-002 Oasis Boulevard 2009 Overlay Project </t>
  </si>
  <si>
    <t>CL-2009-193</t>
  </si>
  <si>
    <t xml:space="preserve">PW 2009-001 Pioneer Boulevard 2009 Overlay Project </t>
  </si>
  <si>
    <t>CL-2009-194</t>
  </si>
  <si>
    <t xml:space="preserve">The Tiberti Company </t>
  </si>
  <si>
    <t xml:space="preserve">0011777 Security Gate System Chaparral High School </t>
  </si>
  <si>
    <t>CL-2009-195</t>
  </si>
  <si>
    <t>08.15341.15-TF Druango Riley Park Phase 2</t>
  </si>
  <si>
    <t>CL-2009-196</t>
  </si>
  <si>
    <t xml:space="preserve">CCB Builders Enterprises, Inc </t>
  </si>
  <si>
    <t xml:space="preserve">09.1730.25.TF Rancho Park Subdivision Street Rehabilitation </t>
  </si>
  <si>
    <t>CL-2009-197</t>
  </si>
  <si>
    <t xml:space="preserve">09.1730.04-TF Meadows Alta Parallel Project Phase II (Lot 1) and Brush Street Storm Drain </t>
  </si>
  <si>
    <t>CL-2009-198</t>
  </si>
  <si>
    <t xml:space="preserve">R-Coat Painting and Drywall, Inc </t>
  </si>
  <si>
    <t xml:space="preserve">Cambridge Community Center Social Service Second Floor - Tenant </t>
  </si>
  <si>
    <t>CL-2009-199</t>
  </si>
  <si>
    <t xml:space="preserve">richarson Construction Inc </t>
  </si>
  <si>
    <t xml:space="preserve">#1324 Northeast Area Command Facility City of North Las Vegas Detention </t>
  </si>
  <si>
    <t>CL-2009-200</t>
  </si>
  <si>
    <t xml:space="preserve">Tiger Communications LLC </t>
  </si>
  <si>
    <t xml:space="preserve">131-09-MF-036-016 Justice Facility Expansion Data/Voice Cable Installation </t>
  </si>
  <si>
    <t xml:space="preserve">CL-2009-201 </t>
  </si>
  <si>
    <t xml:space="preserve">B601418-09 Bruce Woodbury Beltway (North) Oso Blanca Bridge Over US 95 Ramps </t>
  </si>
  <si>
    <t xml:space="preserve">CL-2009-202 </t>
  </si>
  <si>
    <t xml:space="preserve">Regional Justice Center Specialty and Felony DUI Court Expansion </t>
  </si>
  <si>
    <t>CL-2009-203</t>
  </si>
  <si>
    <t xml:space="preserve">Mr. Jeffrey T McComb </t>
  </si>
  <si>
    <t xml:space="preserve">131-09-PR-213-001 Streetscapes Turf Conversion </t>
  </si>
  <si>
    <t>CL-2009-204</t>
  </si>
  <si>
    <t xml:space="preserve">Spirit Underground, LLC </t>
  </si>
  <si>
    <t xml:space="preserve">2008-87-0043 Landwell 2200 Sewer Interceptor Sunset-Burkholder Between Galleria Dr </t>
  </si>
  <si>
    <t>CL-2009-205</t>
  </si>
  <si>
    <t xml:space="preserve">St. George Contracting, Inc. </t>
  </si>
  <si>
    <t xml:space="preserve">09-015 Laughlin Transit Maintenance Facility </t>
  </si>
  <si>
    <t>CL-2009-206</t>
  </si>
  <si>
    <t xml:space="preserve">2140-09 Major &amp; Emergency Asphalt Replacement </t>
  </si>
  <si>
    <t>CL-2009-207</t>
  </si>
  <si>
    <t>1325 Craig Ranch Regional Park - Phase 1</t>
  </si>
  <si>
    <t>CL-2009-208</t>
  </si>
  <si>
    <t>Canceled new till further notice</t>
  </si>
  <si>
    <t xml:space="preserve">1326 Tropical Breeze Park </t>
  </si>
  <si>
    <t>CL-2009-209</t>
  </si>
  <si>
    <t xml:space="preserve">PAR Electrical Contractors Inc </t>
  </si>
  <si>
    <t xml:space="preserve">CRCPDP-41 CWC Temporary Substation Project-Substation Construction </t>
  </si>
  <si>
    <t xml:space="preserve">CL-2009-210 </t>
  </si>
  <si>
    <t xml:space="preserve">Fast Trac Electric </t>
  </si>
  <si>
    <t xml:space="preserve">B6011445-09 2009 Traffic Improvements Phase 2 </t>
  </si>
  <si>
    <t xml:space="preserve">CL-2009-211 </t>
  </si>
  <si>
    <t>B601444-09 Paradise Road - Harmon Avenue To Desert Inn Road Phase 3A</t>
  </si>
  <si>
    <t>CL-2009-212-F</t>
  </si>
  <si>
    <t xml:space="preserve">B601440-09 PM 10 Paving Project 11 Phase 1 </t>
  </si>
  <si>
    <t>CL-2009-213</t>
  </si>
  <si>
    <t xml:space="preserve">1327 SkyView Multi-Generational Center </t>
  </si>
  <si>
    <t>CL-2009-214</t>
  </si>
  <si>
    <t>VVWD</t>
  </si>
  <si>
    <t>Access Road &amp; Site Preparation for Well #27</t>
  </si>
  <si>
    <t xml:space="preserve">  </t>
  </si>
  <si>
    <t>LI-2009-215</t>
  </si>
  <si>
    <t xml:space="preserve">Lincoln County Power District District </t>
  </si>
  <si>
    <t xml:space="preserve">Energy Erectors Inc </t>
  </si>
  <si>
    <t xml:space="preserve">LCPD0902 Gemmill Substation Construction </t>
  </si>
  <si>
    <t>CL-2009-215</t>
  </si>
  <si>
    <t xml:space="preserve">Dataplus Communications </t>
  </si>
  <si>
    <t xml:space="preserve">131-09-W-165-005 City of Henderson Utility Services Support Building </t>
  </si>
  <si>
    <t>CL-2009-216</t>
  </si>
  <si>
    <t xml:space="preserve">Rafael Construction, Inc </t>
  </si>
  <si>
    <t xml:space="preserve">09.1730.20-DC Las Vegas Blvd Neon Signs &amp; Median Island Improvements </t>
  </si>
  <si>
    <t>CL-2009-217</t>
  </si>
  <si>
    <t>0011850 Plumbing Kitchen Modernization and Door &amp; Hardware Upgrade Fay Galloway ES</t>
  </si>
  <si>
    <t>CL-2009-218</t>
  </si>
  <si>
    <t xml:space="preserve">1558 Shirley and Bill Wallin Elementary School </t>
  </si>
  <si>
    <t>CL-2009-219</t>
  </si>
  <si>
    <t>Roche Constructors, Inc.</t>
  </si>
  <si>
    <t xml:space="preserve">1554 Vincent L Triggs Elementary School </t>
  </si>
  <si>
    <t>CL-2009-220</t>
  </si>
  <si>
    <t xml:space="preserve">Red Rose Inc </t>
  </si>
  <si>
    <t xml:space="preserve">0000474  Roof Replacement Bertha Ronzone ES </t>
  </si>
  <si>
    <t>CL-2009-221</t>
  </si>
  <si>
    <t xml:space="preserve">0004452 Roof Replacement Marion Cahlan Elementary School </t>
  </si>
  <si>
    <t>CL-2009-222</t>
  </si>
  <si>
    <t xml:space="preserve">Ryan Mechanical Inc </t>
  </si>
  <si>
    <t xml:space="preserve">0011968 Chiller Conversion Silvestri Middle School </t>
  </si>
  <si>
    <t>CL-2009-223</t>
  </si>
  <si>
    <t xml:space="preserve">1560 Ruby Duncan Elementary School </t>
  </si>
  <si>
    <t>CL-2009-224</t>
  </si>
  <si>
    <t xml:space="preserve">1559 Evelyn Stuckey Elementary School </t>
  </si>
  <si>
    <t>CL-2009-225</t>
  </si>
  <si>
    <t>COM</t>
  </si>
  <si>
    <t xml:space="preserve">Wheeler Electric </t>
  </si>
  <si>
    <t xml:space="preserve">BCP-09-01 Stop Light at Pioneer &amp; Oasis and Pioneer &amp; Falcon Ridge </t>
  </si>
  <si>
    <t>CL-2009-226</t>
  </si>
  <si>
    <t>0000471 Roof Replacement CC Ronnow ES</t>
  </si>
  <si>
    <t>CL-2009-227</t>
  </si>
  <si>
    <t xml:space="preserve">B601457-09 Northern CC-215 Bruce Woodbury Beltway - Decatur Boulevard to North 5th </t>
  </si>
  <si>
    <t>CL-2009-228</t>
  </si>
  <si>
    <t xml:space="preserve">Gothic Landscaping, Inc. </t>
  </si>
  <si>
    <t xml:space="preserve">B601455-09 Clark County Wetlands Park Pond Restoration Project </t>
  </si>
  <si>
    <t>CL-2009-229</t>
  </si>
  <si>
    <t xml:space="preserve">Longivew Construction &amp; Development Inc </t>
  </si>
  <si>
    <t xml:space="preserve">PW 2009-003 South Grapevine Camellia Circle &amp; Sun Valley Drive 2009 Overlay </t>
  </si>
  <si>
    <t xml:space="preserve">CL-2009-230 </t>
  </si>
  <si>
    <t xml:space="preserve">1328 Tropical Parkway Storm Drain East On Tropical Parkway from North 5th Street </t>
  </si>
  <si>
    <t>CL-2009-231</t>
  </si>
  <si>
    <t xml:space="preserve">Shaw-Lundquist Associates </t>
  </si>
  <si>
    <t xml:space="preserve">2329 MRACC Office Build Out and Dumpster Facility Redesign </t>
  </si>
  <si>
    <t>CL-2009-232</t>
  </si>
  <si>
    <t xml:space="preserve">B601462-09 Flamingo Wash Desert Inn Road to Eastern Avenue </t>
  </si>
  <si>
    <t>CL-2009-233</t>
  </si>
  <si>
    <t>B601468-09 Flamingo Arroyo Trail Phase 2</t>
  </si>
  <si>
    <t>CL-2009-234</t>
  </si>
  <si>
    <t>B601456-09 Casino Drive - Harrah's Driveway To St - 163</t>
  </si>
  <si>
    <t>CL-2009-235</t>
  </si>
  <si>
    <t xml:space="preserve">Metro Communications Center </t>
  </si>
  <si>
    <t>CL-2009-236</t>
  </si>
  <si>
    <t>ES</t>
  </si>
  <si>
    <t>Parson Drilling, Inc.</t>
  </si>
  <si>
    <t xml:space="preserve">Silverpeak Production Well Drilling Construction and Test Pumping </t>
  </si>
  <si>
    <t>CL-2009-237</t>
  </si>
  <si>
    <t xml:space="preserve">5050-KC System Computing Services Electrical Renovations </t>
  </si>
  <si>
    <t>CL-2009-238</t>
  </si>
  <si>
    <t xml:space="preserve">Whiting-Tuner </t>
  </si>
  <si>
    <t xml:space="preserve">New City Hall &amp; Civic Plaza </t>
  </si>
  <si>
    <t>CL-2009-239</t>
  </si>
  <si>
    <t>Tand, Inc.</t>
  </si>
  <si>
    <t xml:space="preserve">C1194 Miscellaneous Site Improvements FY 2005/2006 Phase 1 </t>
  </si>
  <si>
    <t>CL-2009-240</t>
  </si>
  <si>
    <t xml:space="preserve">Boulder Construction, Inc. </t>
  </si>
  <si>
    <t xml:space="preserve">06-0667-WWTP Wastewater Treatment Plant Headworks Upgrade </t>
  </si>
  <si>
    <t>CL-2009-241</t>
  </si>
  <si>
    <t xml:space="preserve">Jerome Mack Air Quality Monitoring </t>
  </si>
  <si>
    <t>CL-2009-242</t>
  </si>
  <si>
    <t>0000558 HVAC and Electrical Upgrade and Modernization Valley High School</t>
  </si>
  <si>
    <t xml:space="preserve">CL-2009-243 </t>
  </si>
  <si>
    <t xml:space="preserve">C1308 Polyethylene Service Replacement Laughlin Phase 1 El Mirage Estates </t>
  </si>
  <si>
    <t>CL-2009-244</t>
  </si>
  <si>
    <t xml:space="preserve">C1281 Recycled Water Distribution System Valve Improvements </t>
  </si>
  <si>
    <t>CL-2009-245</t>
  </si>
  <si>
    <t xml:space="preserve">Corrpro Companies Inc </t>
  </si>
  <si>
    <t xml:space="preserve">340R 01 C1 Transmission System Pipelines Cathodic Protection Repairs </t>
  </si>
  <si>
    <t>CL-2009-246</t>
  </si>
  <si>
    <t xml:space="preserve">Gowan Road Improvement </t>
  </si>
  <si>
    <t>CL-2009-247</t>
  </si>
  <si>
    <t xml:space="preserve">"A" Building HVAC Remodel West Side </t>
  </si>
  <si>
    <t>NY-2009-248</t>
  </si>
  <si>
    <t>NY</t>
  </si>
  <si>
    <t>E&amp;M Enterprises</t>
  </si>
  <si>
    <t xml:space="preserve">Diagonal Taxiway Tonopah Airport </t>
  </si>
  <si>
    <t>CL-2009-249</t>
  </si>
  <si>
    <t>La Cienega Drainage Improvements 2361</t>
  </si>
  <si>
    <t xml:space="preserve">CL-2009-250 </t>
  </si>
  <si>
    <t xml:space="preserve">2009-06 Pahrump Are Chip Seal </t>
  </si>
  <si>
    <t>CL-2009-251</t>
  </si>
  <si>
    <t xml:space="preserve">Construction Services Unlimited Inc </t>
  </si>
  <si>
    <t xml:space="preserve">C1293 Trihalomethanes Treatment Project Phase 1 Alta 3205 Zone Reservoir </t>
  </si>
  <si>
    <t>CL-2009-252</t>
  </si>
  <si>
    <t xml:space="preserve">09-17 Southwest Library and Service Center Rainbow Boulevard/Windmill Lane </t>
  </si>
  <si>
    <t>CL-2009-253</t>
  </si>
  <si>
    <t>0004628 Remove &amp; Replace Tennis and Basketball Courts</t>
  </si>
  <si>
    <t>NY-2009-254</t>
  </si>
  <si>
    <t xml:space="preserve">2009-07 Calvada Abatement and Demolition </t>
  </si>
  <si>
    <t>CL-2009-255</t>
  </si>
  <si>
    <t xml:space="preserve">Hellas Construction Inc </t>
  </si>
  <si>
    <t xml:space="preserve">MPID#0004652 Remove and Replace Running Track Surface Valley High School </t>
  </si>
  <si>
    <t>CL-2009-256</t>
  </si>
  <si>
    <t xml:space="preserve">MPID#0010596 Remove and Replace Running Track Surface Western High School </t>
  </si>
  <si>
    <t>CL-2009-257</t>
  </si>
  <si>
    <t xml:space="preserve">MPID#0004640 Remove and Replace Running Track Surface Clark High School </t>
  </si>
  <si>
    <t>CL-2009-258</t>
  </si>
  <si>
    <t xml:space="preserve">WDC Exploration and Wells </t>
  </si>
  <si>
    <t xml:space="preserve">M0157 Drill and Develop Production Wells S-3 and S-4 </t>
  </si>
  <si>
    <t>CL-2009-259</t>
  </si>
  <si>
    <t xml:space="preserve">M0156 Drill Piute Valley Montioring Well PVM-1 </t>
  </si>
  <si>
    <t xml:space="preserve">CL-2009-260 </t>
  </si>
  <si>
    <t>NLV</t>
  </si>
  <si>
    <t xml:space="preserve">1333 Southeast Interceptor </t>
  </si>
  <si>
    <t>CL-2009-261</t>
  </si>
  <si>
    <t xml:space="preserve">08.53541.04-LD WPCF Security Improvements &amp; Expansion Maintenance Charging Area </t>
  </si>
  <si>
    <t>NY-2009-262</t>
  </si>
  <si>
    <t>TTB</t>
  </si>
  <si>
    <t xml:space="preserve">001-09 Tonopah Roof Project </t>
  </si>
  <si>
    <t xml:space="preserve">CL-2009-263 </t>
  </si>
  <si>
    <t xml:space="preserve">Ameresco Inc </t>
  </si>
  <si>
    <t xml:space="preserve">131-08-MF-145-001 City Wide Performance Contract </t>
  </si>
  <si>
    <t>CL-2009-264</t>
  </si>
  <si>
    <t xml:space="preserve">Security Station Modification </t>
  </si>
  <si>
    <t>CL-2009-265</t>
  </si>
  <si>
    <t xml:space="preserve">05-M16 Sewage Disposal System Upgrades Pioche Conservation Camp </t>
  </si>
  <si>
    <t>NY-2009-266</t>
  </si>
  <si>
    <t xml:space="preserve">Intermountain Slurry Seal, Inc. </t>
  </si>
  <si>
    <t xml:space="preserve">2009-08 Florence Avenue Reconstruction </t>
  </si>
  <si>
    <t>CL-2009-267</t>
  </si>
  <si>
    <t xml:space="preserve">Flagship Construction Co, LLC </t>
  </si>
  <si>
    <t xml:space="preserve">601512 Self Help Center </t>
  </si>
  <si>
    <t>CL-2009-268</t>
  </si>
  <si>
    <t xml:space="preserve">Quality Mechanical Contractors LLC </t>
  </si>
  <si>
    <t xml:space="preserve">1332 City of North Las Vegas Detention Center Dormitories A, B, and F HVAC Replacement </t>
  </si>
  <si>
    <t>CL-2009-269</t>
  </si>
  <si>
    <t xml:space="preserve">012019 Roof Replacement Frezier Hall at the Las Vegas Academy of Int'l Studies </t>
  </si>
  <si>
    <t>CL-2009-270</t>
  </si>
  <si>
    <t>Canceled 11/13/09</t>
  </si>
  <si>
    <t>09.15341.03-DC Request For Prelimary Proposals Tropical Durango Park Phase I</t>
  </si>
  <si>
    <t>CL-2009-271</t>
  </si>
  <si>
    <t>New PWP 2010-86</t>
  </si>
  <si>
    <t xml:space="preserve">2262-2 Mia Roof Replacement - Centinal Terminal McCarron International Airport </t>
  </si>
  <si>
    <t xml:space="preserve">CL-2009-272 </t>
  </si>
  <si>
    <t xml:space="preserve">FHI Plant Services Inc </t>
  </si>
  <si>
    <t>M0162 Big Bend Water District On-Call Services Contract 2009-2014</t>
  </si>
  <si>
    <t>CL-2009-273</t>
  </si>
  <si>
    <t xml:space="preserve">MPID#0000577 Remove and Replace Asphalt and Add ADA Ramp </t>
  </si>
  <si>
    <t xml:space="preserve"> Completed</t>
  </si>
  <si>
    <t>CL-2009-274</t>
  </si>
  <si>
    <t xml:space="preserve">07.15341.17-TF Desert Nature Preserve Trail </t>
  </si>
  <si>
    <t>CL-2009-275</t>
  </si>
  <si>
    <t xml:space="preserve">LVI Environemental of Nevada Inc </t>
  </si>
  <si>
    <t xml:space="preserve">07-C07A(A) Asbestos Flooring Abatement Southern Desert Correctional Center </t>
  </si>
  <si>
    <t>CL-2009-276</t>
  </si>
  <si>
    <t xml:space="preserve">CLV </t>
  </si>
  <si>
    <t xml:space="preserve">09.1730.21-LED Dexter Park Playground and Dog Park Addition Dexter Park Upland Blvd </t>
  </si>
  <si>
    <t>CL-2009-277</t>
  </si>
  <si>
    <t xml:space="preserve">DJJS Fire Alarm System Modernization </t>
  </si>
  <si>
    <t>CL-2009-278</t>
  </si>
  <si>
    <t xml:space="preserve">Henderson Masonry LLC </t>
  </si>
  <si>
    <t xml:space="preserve">09-0771-RE Coping Stones Replacement </t>
  </si>
  <si>
    <t>CL-2009-279</t>
  </si>
  <si>
    <t>Diamond Construction Co. Inc.</t>
  </si>
  <si>
    <t xml:space="preserve">B601525-09 Tropicana - Flamingo Wash Trails - Phase 1 </t>
  </si>
  <si>
    <t xml:space="preserve">CL-2009-280 </t>
  </si>
  <si>
    <t xml:space="preserve">B601527-09 Spalling Repair On 1-215 </t>
  </si>
  <si>
    <t xml:space="preserve">CL-2009-281 </t>
  </si>
  <si>
    <t xml:space="preserve">Byrd Underground LLC </t>
  </si>
  <si>
    <t xml:space="preserve">131-09-ST-164-001 Streetlight Pole Replacement Phase 1 </t>
  </si>
  <si>
    <t>CL-2009-282</t>
  </si>
  <si>
    <t xml:space="preserve">Las Vegas Pavig Corporation </t>
  </si>
  <si>
    <t xml:space="preserve">1499 Forebuss Elementary School Located Near Grand Canyon Dr and Fore Avenue </t>
  </si>
  <si>
    <t>CL-2009-283</t>
  </si>
  <si>
    <t>Eldorado Rock, Inc.</t>
  </si>
  <si>
    <t xml:space="preserve">07-0720-LT River Mountains Loop Trail Segment 3 &amp; 4 Within the City Limits of Boulder City </t>
  </si>
  <si>
    <t>CL-2009-284</t>
  </si>
  <si>
    <t>Southern Nevada Paving, Inc.</t>
  </si>
  <si>
    <t xml:space="preserve">Federal Stimulus 2009-A Various Locations In North Las Vegas Construction of Pavement </t>
  </si>
  <si>
    <t>ARRA</t>
  </si>
  <si>
    <t>CL-2009-285</t>
  </si>
  <si>
    <t xml:space="preserve">KW Pipeline Inc </t>
  </si>
  <si>
    <t xml:space="preserve">070F 02 C2 Intake No. 3 Connector Tunnel Alfred Merritt Smith Water Treatment Facility </t>
  </si>
  <si>
    <t>CL-2009-286</t>
  </si>
  <si>
    <t>TAB Constractors, Inc.</t>
  </si>
  <si>
    <t xml:space="preserve">Terminal 3 Apron </t>
  </si>
  <si>
    <t>CL-2009-287</t>
  </si>
  <si>
    <t xml:space="preserve">543-PO2 Emergency Repair Contract Services-Phase II </t>
  </si>
  <si>
    <t>CL-2009-288</t>
  </si>
  <si>
    <t xml:space="preserve">1334 Water Bolsering Between North 5th and </t>
  </si>
  <si>
    <t>CL-2009-289</t>
  </si>
  <si>
    <t xml:space="preserve">09.1730.22-DC Boulder Park Plaza </t>
  </si>
  <si>
    <t>CL-2009-290</t>
  </si>
  <si>
    <t>Western States Contracting Inc.</t>
  </si>
  <si>
    <t xml:space="preserve">131-09-FC-038-002 Section 19 Flood Control Improvements </t>
  </si>
  <si>
    <t xml:space="preserve">CL-2009-291 </t>
  </si>
  <si>
    <t xml:space="preserve">CANCELED </t>
  </si>
  <si>
    <t>09.15341.07-TF RPP Teton Trails Park Phase III</t>
  </si>
  <si>
    <t>CL-2009-292</t>
  </si>
  <si>
    <t>NCBC</t>
  </si>
  <si>
    <t xml:space="preserve">Dan O Construction </t>
  </si>
  <si>
    <t xml:space="preserve">2009-11 Tonopah Public Utillities Septage Drying Beds </t>
  </si>
  <si>
    <t>CL-2009-293</t>
  </si>
  <si>
    <t xml:space="preserve">131-09-MF-063-009 Heritage Park - Senior &amp; Aquntie Faclities Data/Voice Cable Install </t>
  </si>
  <si>
    <t>CL-2009-294</t>
  </si>
  <si>
    <t>Wells Cargo Inc.</t>
  </si>
  <si>
    <t xml:space="preserve">B601530-09 Duck Creek Railroad Detention Basin </t>
  </si>
  <si>
    <t>CL-2009-295</t>
  </si>
  <si>
    <t xml:space="preserve">C1297 Charleston Heights 2168 Zone Reservoir Rehabilitation </t>
  </si>
  <si>
    <t>ES-2009-296</t>
  </si>
  <si>
    <t>Joy Engineering</t>
  </si>
  <si>
    <t xml:space="preserve">09-B-02 Goldfield Utilities Wastewater Pond Rehabilitation Project </t>
  </si>
  <si>
    <t>CL-2009-297</t>
  </si>
  <si>
    <t>Legancy Construction &amp; Development Inc.</t>
  </si>
  <si>
    <t xml:space="preserve">BCP-09-02 Senior Center Addition </t>
  </si>
  <si>
    <t>CL-2009-298</t>
  </si>
  <si>
    <t xml:space="preserve">Craft Construction Co. </t>
  </si>
  <si>
    <t xml:space="preserve">20903340 Renovate Room In MPE Emerging Diseases Laboratory </t>
  </si>
  <si>
    <t>CL-2009-299</t>
  </si>
  <si>
    <t xml:space="preserve">Bravo Underground Inc </t>
  </si>
  <si>
    <t>04-0608-DR Bootleg Canyon Detention Basin Phase 1- Outfall</t>
  </si>
  <si>
    <t>CL-2009-300</t>
  </si>
  <si>
    <t xml:space="preserve">131-09-ST-165-001 Pioneer &amp; Army Street Dust Paving </t>
  </si>
  <si>
    <t xml:space="preserve">CL-2009-301 </t>
  </si>
  <si>
    <t xml:space="preserve">Whiting and Turner </t>
  </si>
  <si>
    <t xml:space="preserve">09-25557 The Smiths Center Performing Arts Center </t>
  </si>
  <si>
    <t xml:space="preserve">CL-2009-302 </t>
  </si>
  <si>
    <t>Construction Services Unlimited, Inc.</t>
  </si>
  <si>
    <t xml:space="preserve">Spring Mountain Youth Camp (SMYC) Wastewater Treatment Facilities Repairs </t>
  </si>
  <si>
    <t xml:space="preserve">CL-2009-303 </t>
  </si>
  <si>
    <t xml:space="preserve">Clark and Sullivan Constructors </t>
  </si>
  <si>
    <t xml:space="preserve">90904873 Science and Engineering Building Tenant Improvements </t>
  </si>
  <si>
    <t>CL-2009-304</t>
  </si>
  <si>
    <t>1 Development Construction corporation</t>
  </si>
  <si>
    <t>Cheyenne Ridge Park Lighting &amp; Shade Shelter  #10277</t>
  </si>
  <si>
    <t>CL-2009-305</t>
  </si>
  <si>
    <t xml:space="preserve">Public Works Multi-use Service Center </t>
  </si>
  <si>
    <t>CL-2009-306</t>
  </si>
  <si>
    <t xml:space="preserve">RTC </t>
  </si>
  <si>
    <t xml:space="preserve">09-092 South Strip Transfer Terminal Security Electronic Systems Upgrade </t>
  </si>
  <si>
    <t>CL-2009-307</t>
  </si>
  <si>
    <t xml:space="preserve">Hi-Con, Inc </t>
  </si>
  <si>
    <t xml:space="preserve">09-20 Whitney Library Efficiency Remodel </t>
  </si>
  <si>
    <t>CL-2009-308</t>
  </si>
  <si>
    <t xml:space="preserve">09-21 West Charleston Library Efficiency Remodel </t>
  </si>
  <si>
    <t>CL-2009-309</t>
  </si>
  <si>
    <t xml:space="preserve">Grand Teton Drive Storm Drain-Tee Pee Lane to US-95 </t>
  </si>
  <si>
    <t xml:space="preserve">CL-2009-310 </t>
  </si>
  <si>
    <t>Access Technologies, Inc.</t>
  </si>
  <si>
    <t>2353 CCRF - AVI System Installation at McCarren Rent-A-Center</t>
  </si>
  <si>
    <t>CL-2009-311</t>
  </si>
  <si>
    <t>VT Construction Inc.</t>
  </si>
  <si>
    <t xml:space="preserve">07-C05 Indian Springs Correctional Center Work Camp, off Site Erosion Control 20825 Cold </t>
  </si>
  <si>
    <t xml:space="preserve">CL-2009-312 </t>
  </si>
  <si>
    <t xml:space="preserve">Lead Based Paint Stabilization and Remediation Project </t>
  </si>
  <si>
    <t>CL-2009-313</t>
  </si>
  <si>
    <t>1341 Water Bolstering Project Between North 5th and Donna</t>
  </si>
  <si>
    <t>CL-2009-314</t>
  </si>
  <si>
    <t>Canceled New # 2010-23</t>
  </si>
  <si>
    <t xml:space="preserve">090200-LD Design/Build Water Pollution Control Facility </t>
  </si>
  <si>
    <t>CL-2009-315</t>
  </si>
  <si>
    <t xml:space="preserve">Meadow Valley Contractors, Inc </t>
  </si>
  <si>
    <t xml:space="preserve">09.1730.10-DC Oakey Meadows Storm Drain Phase 1 </t>
  </si>
  <si>
    <t>CL-2009-316</t>
  </si>
  <si>
    <t xml:space="preserve">Installation of Video Surveillance System at Bob Price Recreation Center </t>
  </si>
  <si>
    <t>CL-2009-317</t>
  </si>
  <si>
    <t xml:space="preserve">R&amp;O Construction </t>
  </si>
  <si>
    <t xml:space="preserve">C-09-0000Z Gibson Library 100 W Lake Mead Pkwy, Henderson NV 89015 </t>
  </si>
  <si>
    <t>CL-2009-318</t>
  </si>
  <si>
    <t xml:space="preserve">Agave Construction LLC </t>
  </si>
  <si>
    <t xml:space="preserve">07.15341.03-LED Fire Station #42 Generator Enclosure </t>
  </si>
  <si>
    <t>CL-2009-319</t>
  </si>
  <si>
    <t xml:space="preserve">0011116 Roof Replacement Adams Elementary School </t>
  </si>
  <si>
    <t xml:space="preserve">LI-2009-320 </t>
  </si>
  <si>
    <t>Anzalone Pumps, Inc.</t>
  </si>
  <si>
    <t xml:space="preserve">02734 Well #2 Reconditioning </t>
  </si>
  <si>
    <t>LI-2009-321</t>
  </si>
  <si>
    <t>Tim Wilkin Trucking, LLC</t>
  </si>
  <si>
    <t xml:space="preserve">Rail City Linear Park Improvements Project 02261 </t>
  </si>
  <si>
    <t>LI-2009-322</t>
  </si>
  <si>
    <t>Well #3 Replacement 02194</t>
  </si>
  <si>
    <t>CL-2009-323</t>
  </si>
  <si>
    <t>CG&amp;B Enterprises, Inc.</t>
  </si>
  <si>
    <t xml:space="preserve">Pinto Campus Parking Improvements </t>
  </si>
  <si>
    <t>CL-2009-324</t>
  </si>
  <si>
    <t xml:space="preserve">B601587-09 Montessouri Street Improvement From Wigwam Avenue to Shelburne Avenue </t>
  </si>
  <si>
    <t>CL-2009-325</t>
  </si>
  <si>
    <t xml:space="preserve">0005074 Playground and Retaining Wall Replacement William G Bennett ES </t>
  </si>
  <si>
    <t>CL-2009-326</t>
  </si>
  <si>
    <t xml:space="preserve">0004610 Tennis and Basketball Court Replacement and Erosion Control </t>
  </si>
  <si>
    <t>CL-2009-327</t>
  </si>
  <si>
    <t>APCO Construction</t>
  </si>
  <si>
    <t xml:space="preserve">2334 Terminal 1 Central Plant Reconfiguration McCarran International Airport </t>
  </si>
  <si>
    <t>CL-2009-328</t>
  </si>
  <si>
    <t>Canceled New # 2010-17</t>
  </si>
  <si>
    <t xml:space="preserve">2009-86-0000 Reservoir Rehabilitation Improvements Project R 18 and R 20 Various </t>
  </si>
  <si>
    <t>CL-2009-329</t>
  </si>
  <si>
    <t>Native Resources, LLC</t>
  </si>
  <si>
    <t xml:space="preserve">C1314 Searchlight Water System Improvements Restoration </t>
  </si>
  <si>
    <t xml:space="preserve">CL-2009-330 </t>
  </si>
  <si>
    <t>Canceled Awarded Under 100,000</t>
  </si>
  <si>
    <t xml:space="preserve">Countywide Heater Replacement </t>
  </si>
  <si>
    <t>CL-2009-331</t>
  </si>
  <si>
    <t>Danoski Clutts Building Group LLC</t>
  </si>
  <si>
    <t xml:space="preserve">BCP-09-3 City of Mesquite Police Headquarters </t>
  </si>
  <si>
    <t>CL-2009-332</t>
  </si>
  <si>
    <t xml:space="preserve">Industrial Support Technologists </t>
  </si>
  <si>
    <t xml:space="preserve">09.53541.01-LD WPCF Nitrification RAS Valve Replacement </t>
  </si>
  <si>
    <t xml:space="preserve">         </t>
  </si>
  <si>
    <t>CL-2009-333</t>
  </si>
  <si>
    <t>CANCELED NEW PWP 2010-91</t>
  </si>
  <si>
    <t>Fire Station 22</t>
  </si>
  <si>
    <t>CL-2009-334</t>
  </si>
  <si>
    <t>Crisci Builders</t>
  </si>
  <si>
    <t>Via Olivero Avenue and Valedez Street Special Improvement District 09.1730.34-DC</t>
  </si>
  <si>
    <t>CL-2009-335</t>
  </si>
  <si>
    <t>09-102 Ace Gold Line Phase III</t>
  </si>
  <si>
    <t>CL-2009-336</t>
  </si>
  <si>
    <t xml:space="preserve">Ryan Mechanical, Inc. </t>
  </si>
  <si>
    <t xml:space="preserve">PKGID 0011857 School Moderinization John F Mendoza Elementary School </t>
  </si>
  <si>
    <t>CL-2009-337</t>
  </si>
  <si>
    <t>Nev Cal Investors dba Fost Tree Electric</t>
  </si>
  <si>
    <t xml:space="preserve">1343 WRF Offsite Power </t>
  </si>
  <si>
    <t>CL-2009-338</t>
  </si>
  <si>
    <t>Conti Technologies</t>
  </si>
  <si>
    <t xml:space="preserve">131-09-MF-063-013 Heritage Park Senior and Aquatic Facilities Audio </t>
  </si>
  <si>
    <t>CL-2009-339</t>
  </si>
  <si>
    <t xml:space="preserve">2370 Radiosonde Launch Facility </t>
  </si>
  <si>
    <t xml:space="preserve">CL-2009-340 </t>
  </si>
  <si>
    <t>Hellas Construction, Inc.</t>
  </si>
  <si>
    <t xml:space="preserve">0012071 Remove and Replace Running Track Surface </t>
  </si>
  <si>
    <t>CL-2009-341</t>
  </si>
  <si>
    <t>NDWL</t>
  </si>
  <si>
    <t>91-97-48-02 A Quary and Stockpile RipRap Lincoln County Acoma Quarry (29 Miles East of )</t>
  </si>
  <si>
    <t>NY-2009-342</t>
  </si>
  <si>
    <t xml:space="preserve">2009-14 Re-roofing of the Rhyolite Depot </t>
  </si>
  <si>
    <t>CL-2009-343</t>
  </si>
  <si>
    <t xml:space="preserve">Southwest Lawn Shaping </t>
  </si>
  <si>
    <t xml:space="preserve">09.15341.10-TF Durango Hills Golf Course Turf Removal </t>
  </si>
  <si>
    <t>CL-2009-344</t>
  </si>
  <si>
    <t xml:space="preserve">K.W. Pipeline </t>
  </si>
  <si>
    <t xml:space="preserve">1344 Southeast Interceptor Phase 1 Lake Meade/pecos to Alto/Nellis along Lake Meade </t>
  </si>
  <si>
    <t>CL-2009-345</t>
  </si>
  <si>
    <t>CANCELED NEW PWP 2010-100</t>
  </si>
  <si>
    <t>1346 Southeast Interceptor Phase 3 From Owens Ave/Pecos Rd to Lake Meade/Pecos</t>
  </si>
  <si>
    <t>CL-2009-346</t>
  </si>
  <si>
    <t>Michels Corporation</t>
  </si>
  <si>
    <t xml:space="preserve">1345 Southeast Interceptor Phase 2 From Alto/Nellis along Alto and Betty </t>
  </si>
  <si>
    <t>CL-2009-347</t>
  </si>
  <si>
    <t>Mcarthy Building Companies Inc.</t>
  </si>
  <si>
    <t xml:space="preserve">PW 2009-004 Mesquite Wastewater Treatment Plant Upgrade &amp; Expansion </t>
  </si>
  <si>
    <t>CL-2009-348</t>
  </si>
  <si>
    <t xml:space="preserve">2009-14 Entry Canopy NE Building </t>
  </si>
  <si>
    <t>CL-2009-349</t>
  </si>
  <si>
    <t>131-09-W-129-001 Miscellaneous Utilities Phase 4</t>
  </si>
  <si>
    <t>CL-2009-350</t>
  </si>
  <si>
    <t xml:space="preserve">2009-15 Campus Landscaping and Irrigation </t>
  </si>
  <si>
    <t xml:space="preserve">CL-2009-351 </t>
  </si>
  <si>
    <t>Commercial Roofers</t>
  </si>
  <si>
    <t xml:space="preserve">1340 CNLV Detention Center Dormitories A, B, and F Roof Renovation </t>
  </si>
  <si>
    <t>CL-2009-352</t>
  </si>
  <si>
    <t>NEW PWP 2010-110</t>
  </si>
  <si>
    <t>09-0768-STR Federal Project No. AARA-0003(115), NDOT Project No. 60364</t>
  </si>
  <si>
    <t>ARRA 003(115)</t>
  </si>
  <si>
    <t>NY-2009-353</t>
  </si>
  <si>
    <t>Sierra Nevada Construction</t>
  </si>
  <si>
    <t xml:space="preserve">ALP NO. 3-32-0029-05 Resurface Unpaved Runways </t>
  </si>
  <si>
    <t xml:space="preserve">CL-2009-354 </t>
  </si>
  <si>
    <t>Johnson Controls Inc</t>
  </si>
  <si>
    <t xml:space="preserve">2009-16 UMC Lied Ambulatory Center Chiller Modifications </t>
  </si>
  <si>
    <t>CL-2009-355</t>
  </si>
  <si>
    <t xml:space="preserve">CLNV </t>
  </si>
  <si>
    <t xml:space="preserve">B-1347 Parking Lot at Stanley and Bruce </t>
  </si>
  <si>
    <t>LI-2009-356</t>
  </si>
  <si>
    <t>Pearson Brothers Construction LLC</t>
  </si>
  <si>
    <t xml:space="preserve">EM1 Emergency Buildings Paving </t>
  </si>
  <si>
    <t>CL-2009-357</t>
  </si>
  <si>
    <t>CANCELED NEW PWP 2010-96</t>
  </si>
  <si>
    <t xml:space="preserve">Gabbs Sewer Improvement Project </t>
  </si>
  <si>
    <t>CL-2009-358</t>
  </si>
  <si>
    <t xml:space="preserve">AIP NO 3-32-0002-10 Vault Generator Beatty Airport </t>
  </si>
  <si>
    <t>CL-2009-359</t>
  </si>
  <si>
    <t xml:space="preserve">RTC  </t>
  </si>
  <si>
    <t xml:space="preserve">09-106 Construction Manager at Risk Boulder Highway </t>
  </si>
  <si>
    <t xml:space="preserve">CL-2009-360 </t>
  </si>
  <si>
    <t xml:space="preserve">Big Town Mechanical </t>
  </si>
  <si>
    <t xml:space="preserve">07-M10 &amp; 07-C07a Templifier &amp; Heat Pumps Replacement / Concenser Water Pipe </t>
  </si>
  <si>
    <t>CL-2009-361</t>
  </si>
  <si>
    <t xml:space="preserve">Tri-Signal Integration Inc </t>
  </si>
  <si>
    <t xml:space="preserve">0012058 Fire Alarm Upgrade Durango High School </t>
  </si>
  <si>
    <t xml:space="preserve">CL-2009-362 </t>
  </si>
  <si>
    <t xml:space="preserve">0012047 Fire Alarm Upgrade Becker Middle School </t>
  </si>
  <si>
    <t>LI-2009-363</t>
  </si>
  <si>
    <t xml:space="preserve">NDW </t>
  </si>
  <si>
    <t xml:space="preserve">91-97-48-02B Schroeder Dam Decommissioning &amp; Erosion </t>
  </si>
  <si>
    <t>CL-2009-364</t>
  </si>
  <si>
    <t>Construction Services Unlimited</t>
  </si>
  <si>
    <t xml:space="preserve">C1300 Jean 3079 Zone Reservoir Addition </t>
  </si>
  <si>
    <t>09/09/209</t>
  </si>
  <si>
    <t>CL-2009-365</t>
  </si>
  <si>
    <t>Prime Contracting dba Prime Grading and Paving</t>
  </si>
  <si>
    <t xml:space="preserve">#09-2171 Right Turn Stacking Lane Joe W Brown and Bel Air Drive </t>
  </si>
  <si>
    <t>CL-2009-366</t>
  </si>
  <si>
    <t>WDC Exploration &amp; Wells</t>
  </si>
  <si>
    <t xml:space="preserve">M0165 Drill Piute Valley Monitoring Well PVM-1 </t>
  </si>
  <si>
    <t>CL-2009-367</t>
  </si>
  <si>
    <t>NEW PWP # 2010-120</t>
  </si>
  <si>
    <t xml:space="preserve">1348 Las Vegas Wash Trail Phase IV </t>
  </si>
  <si>
    <t xml:space="preserve">                                                             </t>
  </si>
  <si>
    <t>CL-2009-368</t>
  </si>
  <si>
    <t>Ace Fire Systems Inc.</t>
  </si>
  <si>
    <t xml:space="preserve">05-S03(S) Fire Alarm Facility Upgrade Southern Desert Correctional Center </t>
  </si>
  <si>
    <t>CL-2009-369</t>
  </si>
  <si>
    <t>B&amp;H Construction, Inc</t>
  </si>
  <si>
    <t xml:space="preserve">07.15431.05-DC Pavilion Pool Cover </t>
  </si>
  <si>
    <t>CL-2009-370</t>
  </si>
  <si>
    <t xml:space="preserve">09-0486 West Charleston Storm Drains/Flood Control </t>
  </si>
  <si>
    <t>CL-2009-371</t>
  </si>
  <si>
    <t xml:space="preserve">B601634 2009 Traffic Improvement Project - Phase 4B </t>
  </si>
  <si>
    <t>CL-2009-372</t>
  </si>
  <si>
    <t>CANCELED UNDER 100,000</t>
  </si>
  <si>
    <t xml:space="preserve">09.15341.09-LED Centennial Hills Park Added Improvements-Amphitheater Truss Footings </t>
  </si>
  <si>
    <t>CL-2009-373</t>
  </si>
  <si>
    <t>07-C23(A) Off Site Improvements - Buchanan Boulevard Phase II</t>
  </si>
  <si>
    <t>CL-2009-374</t>
  </si>
  <si>
    <t xml:space="preserve">0012084 Fire Alarm Upgrade Las Vegas High School </t>
  </si>
  <si>
    <t xml:space="preserve">CL-2009-375 </t>
  </si>
  <si>
    <t>0012076 Fire Alarm Upgrade Greenspun  Middle School</t>
  </si>
  <si>
    <t>CL-2009-376</t>
  </si>
  <si>
    <t xml:space="preserve">0012082 Fire Alarm  Green Valley High School </t>
  </si>
  <si>
    <t>CL-2009-377</t>
  </si>
  <si>
    <t xml:space="preserve">0012081 Fire Alarm Upgrade Cheyenne High School </t>
  </si>
  <si>
    <t>CL-2009-378</t>
  </si>
  <si>
    <t xml:space="preserve">0012083 Fire Alarm Upgrade Walter Johnson Middle School </t>
  </si>
  <si>
    <t>CL-2009-379</t>
  </si>
  <si>
    <t xml:space="preserve">0012085 Fire Alarm Upgrade O'Callaghan Middle School </t>
  </si>
  <si>
    <t xml:space="preserve">CL-2009-380 </t>
  </si>
  <si>
    <t xml:space="preserve">0012080 Fire Alarm Upgrade Thurman White Middle School </t>
  </si>
  <si>
    <t>CL-2009-381</t>
  </si>
  <si>
    <t xml:space="preserve">CNLV </t>
  </si>
  <si>
    <t>CANCELED NEW PWP 2010-116</t>
  </si>
  <si>
    <t xml:space="preserve">1350 Fire Administration Building Emergency Generator and Enclosure </t>
  </si>
  <si>
    <t>CL-2009-382-F</t>
  </si>
  <si>
    <t>Capriati Construction Corporation, Inc</t>
  </si>
  <si>
    <t xml:space="preserve">B601643-09 Las Vegas Boulevard From Silverado Ranch Boulevard to Sunset Road </t>
  </si>
  <si>
    <t>CL-2009-383</t>
  </si>
  <si>
    <t xml:space="preserve">B601642-09 Lower Duck Creek Detention Basin Offsite Improvements </t>
  </si>
  <si>
    <t>CL-2009-384</t>
  </si>
  <si>
    <t xml:space="preserve">10.1730.05-DC Symphony Park Off-Site Electrical Conduit System </t>
  </si>
  <si>
    <t>LI-2009-385</t>
  </si>
  <si>
    <t>NSP</t>
  </si>
  <si>
    <t>Impact Construction</t>
  </si>
  <si>
    <t xml:space="preserve">Site Improvements Spring Valley State Park </t>
  </si>
  <si>
    <t>CL-2009-386</t>
  </si>
  <si>
    <t xml:space="preserve">Construction Services Unlimited, Inc. </t>
  </si>
  <si>
    <t xml:space="preserve">WPCF Dewatering Well Project 09.53541.03-LED </t>
  </si>
  <si>
    <t>CL-2009-387</t>
  </si>
  <si>
    <t>The Tiberti Company</t>
  </si>
  <si>
    <t xml:space="preserve">Child Haven Family Services Campus Fence </t>
  </si>
  <si>
    <t>CL-2009-388</t>
  </si>
  <si>
    <t>City Plan Development, Inc.</t>
  </si>
  <si>
    <t xml:space="preserve">B601635-09 2009 Bus Stop Concrete Pad Repairs - Federal Funded </t>
  </si>
  <si>
    <t>CL-2009-389</t>
  </si>
  <si>
    <t>Canceled New PWP 2010-30</t>
  </si>
  <si>
    <t xml:space="preserve">09.1762.02-LED 2009 Asphalt Overlay Lamb Blvd from Charleston to Owens, Alexander Rd </t>
  </si>
  <si>
    <t xml:space="preserve">CL-2009-390 </t>
  </si>
  <si>
    <t>Harber Company Inc</t>
  </si>
  <si>
    <t xml:space="preserve">131-09-ST-146-001 Green Valley Parkway-American Pacific ADA Ramp Improvements </t>
  </si>
  <si>
    <t>CL-2009-391</t>
  </si>
  <si>
    <t>Canceled New PWP 2010-31</t>
  </si>
  <si>
    <t>Stewart Avenue Sewer &amp; Pavement Rehabiblitation &amp; Beautification Phase 2</t>
  </si>
  <si>
    <t>POWERCOMM SOLUTIONS INC</t>
  </si>
  <si>
    <t>INFRSTRCTR UPGRD BDSLY, WINN, WM</t>
  </si>
  <si>
    <t>3717/09</t>
  </si>
  <si>
    <t>WA-2009-101</t>
  </si>
  <si>
    <t>2009 Traffic Improvement Project - Phase 4C</t>
  </si>
  <si>
    <t>NY-2009-393</t>
  </si>
  <si>
    <t>NYE</t>
  </si>
  <si>
    <t>Wulfenstein Construction Co.,Inc.</t>
  </si>
  <si>
    <t>Supply Type 2 Gravel on various projects</t>
  </si>
  <si>
    <t>CL-2009-394</t>
  </si>
  <si>
    <t>Canceled New PWP 2010-56</t>
  </si>
  <si>
    <t>2009 Transportation Rebab Stimulus Project Phase 3 Volunteer Blvd</t>
  </si>
  <si>
    <t>CL-2009-395</t>
  </si>
  <si>
    <t>Canceled New PWP 2010-57</t>
  </si>
  <si>
    <t>2009 Transportation Rebab Stimulus Project Phase 1 Green Valley Parkway</t>
  </si>
  <si>
    <t>CL-2009-396</t>
  </si>
  <si>
    <t>Canceled New PWP 2010-58</t>
  </si>
  <si>
    <t>2009 Transporation Rehab Stimulus Project American Pacific Drive</t>
  </si>
  <si>
    <t>CL-2009-397</t>
  </si>
  <si>
    <t>OPD</t>
  </si>
  <si>
    <t>Payne Substation, Overton Power District</t>
  </si>
  <si>
    <t>CL-2009-398</t>
  </si>
  <si>
    <t>NANG</t>
  </si>
  <si>
    <t>McKeon Door of Nevada Inc.</t>
  </si>
  <si>
    <t>Energy Retrofit CSMS #2, Nevada Army National Guard</t>
  </si>
  <si>
    <t>CL-2009-399</t>
  </si>
  <si>
    <t>williams Brother's, Inc.</t>
  </si>
  <si>
    <t xml:space="preserve">Taxiway G Reconstruction </t>
  </si>
  <si>
    <t>CL-2009-400</t>
  </si>
  <si>
    <t>Trade Wset Construction</t>
  </si>
  <si>
    <t>Gym Floor Installation for Temp Structure Sandy Valley HS</t>
  </si>
  <si>
    <t>Part of 2008-482</t>
  </si>
  <si>
    <t>CL-2009-401</t>
  </si>
  <si>
    <t>North 5th Street Improvements Phase 1B Owens to Lake Mead Blvd</t>
  </si>
  <si>
    <t>NY-2009-402</t>
  </si>
  <si>
    <t xml:space="preserve">Landwell 2200 Sewer Interceptor Galleria Drive to Lake Mead Parkway </t>
  </si>
  <si>
    <t>NY-2009-403</t>
  </si>
  <si>
    <t>Harris Fence &amp; Concrete</t>
  </si>
  <si>
    <t>Gabbs Recreation Hall - Phase I Foundation</t>
  </si>
  <si>
    <t>Part of NY-2009-420</t>
  </si>
  <si>
    <t>CL-2009-404</t>
  </si>
  <si>
    <t>Boulder Construction, Inc.</t>
  </si>
  <si>
    <t>WPCF Box Culvert Modification</t>
  </si>
  <si>
    <t>CL-2009-405</t>
  </si>
  <si>
    <t xml:space="preserve">B601645-09 Twain/Pecos-Mccleod Storm Drain </t>
  </si>
  <si>
    <t>CL-2009-406</t>
  </si>
  <si>
    <t xml:space="preserve">B601646-09  Dening-Tunis Area Storm Drain At Duck Creek </t>
  </si>
  <si>
    <t>CL-2009-407</t>
  </si>
  <si>
    <t xml:space="preserve">B601647-09 Cleveland Avenue From Walnut Road to Gateway Street </t>
  </si>
  <si>
    <t>CL-2009-408</t>
  </si>
  <si>
    <t>CANCELED NEW PWP 2010-316</t>
  </si>
  <si>
    <t>B601648-09 Tropicana - Flamingo Wash Trails - Phase II</t>
  </si>
  <si>
    <t>CL-2009-409</t>
  </si>
  <si>
    <t>New PWP 2010-89</t>
  </si>
  <si>
    <t xml:space="preserve">B601658-09 2009 Traffic Improvement Project - Phase 3 </t>
  </si>
  <si>
    <t xml:space="preserve">CL-2009-410 </t>
  </si>
  <si>
    <t>NY-2009-410</t>
  </si>
  <si>
    <t xml:space="preserve">Gabbs Mater Water Treatment Facility </t>
  </si>
  <si>
    <t>CL-2009-411</t>
  </si>
  <si>
    <t>New PWP 2010-88</t>
  </si>
  <si>
    <t>B601663-09 2009 Traffic Improvement Project - Phase 4A</t>
  </si>
  <si>
    <t>CL-2009-412</t>
  </si>
  <si>
    <t xml:space="preserve">10-042 Ace Gold Line Phase III Various Locations Along Las Vegas Boulevard and Warm </t>
  </si>
  <si>
    <t>CL-2009-413</t>
  </si>
  <si>
    <t>Rebel Communications LLC</t>
  </si>
  <si>
    <t xml:space="preserve">601599-09 Supply and Install a Radio Communications System at the Clark County Detention </t>
  </si>
  <si>
    <t>CL-2009-414</t>
  </si>
  <si>
    <t>Pahor Mechanical Contractors, Inc.</t>
  </si>
  <si>
    <t xml:space="preserve">309 South Third Street Cooling Tower and Boiler Replacement </t>
  </si>
  <si>
    <t>CL-2009-415</t>
  </si>
  <si>
    <t>WPCF Server Room HVAC System</t>
  </si>
  <si>
    <t>CL-2009-416</t>
  </si>
  <si>
    <t>Cancele New PWP 2010-324</t>
  </si>
  <si>
    <t xml:space="preserve">RFP 601549-09 Upgraded Video Visitation System for the Clark County Detention Center </t>
  </si>
  <si>
    <t>LI-2009-417</t>
  </si>
  <si>
    <t>ASW</t>
  </si>
  <si>
    <t>Boart Longue</t>
  </si>
  <si>
    <t>Alamo Exploratory Drilling Project Drilling Exploratory Well</t>
  </si>
  <si>
    <t>CL-2009-418</t>
  </si>
  <si>
    <t xml:space="preserve">Bertha Howe Aevnue &amp; John Deere Drive </t>
  </si>
  <si>
    <t>CL-2009-419</t>
  </si>
  <si>
    <t xml:space="preserve">1354 Fire Station #54 Addition </t>
  </si>
  <si>
    <t xml:space="preserve">       </t>
  </si>
  <si>
    <t xml:space="preserve">NY-2009-420 </t>
  </si>
  <si>
    <t>Ben Dotson Construction</t>
  </si>
  <si>
    <t xml:space="preserve">2009-27 Gabbs Recreation Hall - Phase II Erection </t>
  </si>
  <si>
    <t>Part of NY-2009-403</t>
  </si>
  <si>
    <t>CL-2009-421</t>
  </si>
  <si>
    <t>Bird Viewing Preserve Access Driveway</t>
  </si>
  <si>
    <t>CL-2009-422</t>
  </si>
  <si>
    <t>CCPC</t>
  </si>
  <si>
    <t>U.S. Mechanical, LLC</t>
  </si>
  <si>
    <t>RJC Air and Water Balance Modifications</t>
  </si>
  <si>
    <t>CL-2009-423</t>
  </si>
  <si>
    <t>Canceled Less then $100,000.00</t>
  </si>
  <si>
    <t>Installation of Fire Hydrant at Portables</t>
  </si>
  <si>
    <t>CL-2009-424</t>
  </si>
  <si>
    <t>Core Construction Services</t>
  </si>
  <si>
    <t>Academic &amp; Student Services Building Electrical Revisions</t>
  </si>
  <si>
    <t>CL-2009-425</t>
  </si>
  <si>
    <t>Northwest Career &amp; Technical Academy Access Road</t>
  </si>
  <si>
    <t>CL-2009-426</t>
  </si>
  <si>
    <t>RTCSN</t>
  </si>
  <si>
    <t>ACE Express C-Line</t>
  </si>
  <si>
    <t>CL-2009-427</t>
  </si>
  <si>
    <t>Canceled Awarded Under $100,000.00</t>
  </si>
  <si>
    <t>Countywide Lamp &amp; Ballast Replacement Clark Place Parking Garage</t>
  </si>
  <si>
    <t>CL-2009-428</t>
  </si>
  <si>
    <t>CANCELED NEW PWP 2010-92</t>
  </si>
  <si>
    <t>Countywide Playground ADA Safety Surfacing</t>
  </si>
  <si>
    <t>CL-2009-429</t>
  </si>
  <si>
    <t>CANCELED NEW PWP 2010-93</t>
  </si>
  <si>
    <t>Spring Mountain Youth Camp: Volleyball Pitt Turf Conversion</t>
  </si>
  <si>
    <t>CL-2009-430</t>
  </si>
  <si>
    <t>CANCELED NEW PWP 2010-94</t>
  </si>
  <si>
    <t>Stephanie Street Automotive Trailer Replacement</t>
  </si>
  <si>
    <t>CL-2009-431</t>
  </si>
  <si>
    <t>RFI Communicatios &amp; Security Systems</t>
  </si>
  <si>
    <t>Campos Office &amp; Parking Facility</t>
  </si>
  <si>
    <t>CL-2009-432</t>
  </si>
  <si>
    <t>Runway 9R-27L Safety Enhancements</t>
  </si>
  <si>
    <t>CL-2009-433</t>
  </si>
  <si>
    <t>Development Services Expansio: Security Camera Upgrades</t>
  </si>
  <si>
    <t>CL-2009-434</t>
  </si>
  <si>
    <t>OM</t>
  </si>
  <si>
    <t>Upgrade Truck Staging Area FETC</t>
  </si>
  <si>
    <t>CL-2009-435</t>
  </si>
  <si>
    <t>CLVRA</t>
  </si>
  <si>
    <t>Alpha Omega Strategies, LLC</t>
  </si>
  <si>
    <t>The Residence at Village Square, Affordable senior housing and commercial/retail development</t>
  </si>
  <si>
    <t>NY-2009-436</t>
  </si>
  <si>
    <t>Pac-Van, Inc.</t>
  </si>
  <si>
    <t>Calvada Administration Building</t>
  </si>
  <si>
    <t xml:space="preserve">Per Keith to back date </t>
  </si>
  <si>
    <t>NY-2009-436 B</t>
  </si>
  <si>
    <t>Phase 2 of 2009-436</t>
  </si>
  <si>
    <t>NY-2009-436 C</t>
  </si>
  <si>
    <t>Calvada Parking Lot</t>
  </si>
  <si>
    <t>CL-2010-1</t>
  </si>
  <si>
    <t>CWC-800 System Conveyance &amp; Operations Program (SCOP)-"Hydropower Facilit (PR/PGS)</t>
  </si>
  <si>
    <t>CL-2010-2</t>
  </si>
  <si>
    <t xml:space="preserve">CWC 1000 Reach 5 Outfall Diffusers </t>
  </si>
  <si>
    <t>CL-2010-3</t>
  </si>
  <si>
    <t>Canceled till futher notice</t>
  </si>
  <si>
    <t xml:space="preserve">080F 04 C1 Lake Mead Intake No. 3 - discharge Pipeline </t>
  </si>
  <si>
    <t xml:space="preserve">CL-2010-4 </t>
  </si>
  <si>
    <t>Sletten Construction</t>
  </si>
  <si>
    <t xml:space="preserve">TS-0630 Laughlin WRF Aeration Piping Replacement and Laughlin </t>
  </si>
  <si>
    <t>CL-2010-5</t>
  </si>
  <si>
    <t xml:space="preserve">TS-0640 Laughlin Lift Station No.2 Rehabilitation Project </t>
  </si>
  <si>
    <t>CL-2010-6</t>
  </si>
  <si>
    <t xml:space="preserve">C1212 Sloan Zone Reservoir and 3205 Zone South Pumping Station </t>
  </si>
  <si>
    <t>CL-2010-7</t>
  </si>
  <si>
    <t xml:space="preserve">2009-86-0016 Pittman Pecos Sewer Flood Protection Project </t>
  </si>
  <si>
    <t>CL-2010-8</t>
  </si>
  <si>
    <t>Big Town Mechanical, LLC</t>
  </si>
  <si>
    <t xml:space="preserve">0011861 HVAC School Modernization Charlotte Hill Elementary School </t>
  </si>
  <si>
    <t>CL-2010-9</t>
  </si>
  <si>
    <t xml:space="preserve">0011873 HVAC School Modernization Dorothy Eisenberg Elementary School </t>
  </si>
  <si>
    <t>CL-2010-10</t>
  </si>
  <si>
    <t xml:space="preserve">0011864 HVAC School Modernization  Helen Herr Elementary School </t>
  </si>
  <si>
    <t>CL-2010-11</t>
  </si>
  <si>
    <t xml:space="preserve">011848 HVAC School Modernization Walter Jacobson Elementary School </t>
  </si>
  <si>
    <t>CL-2010-12</t>
  </si>
  <si>
    <t xml:space="preserve">0011847 HVAC School Modernization Helen Jydstrup Elementary School </t>
  </si>
  <si>
    <t>NY-2010-13</t>
  </si>
  <si>
    <t>Contri Construction Comp.</t>
  </si>
  <si>
    <t>BWSD Water Treatment Facility Treatment Facility</t>
  </si>
  <si>
    <t>CL-2010-14</t>
  </si>
  <si>
    <t xml:space="preserve">W0108 Las Vegas Vallely Groundwater Managmeent Program Miscellaneous Well </t>
  </si>
  <si>
    <t>CL-2010-15</t>
  </si>
  <si>
    <t>El Camino Construction Company, Inc</t>
  </si>
  <si>
    <t xml:space="preserve">Pittman Wash Sewer Relocation Valle Verde Drive to Sandwedge Channel </t>
  </si>
  <si>
    <t>CL-2010-16</t>
  </si>
  <si>
    <t>UNLVR</t>
  </si>
  <si>
    <t>HCI Underground, LLC</t>
  </si>
  <si>
    <t xml:space="preserve"> Las Vegas Co-Op Learning Center - Landscaping #0811-P163</t>
  </si>
  <si>
    <t>CL-2010-17</t>
  </si>
  <si>
    <t>Advanced Industrail Services, Inc.</t>
  </si>
  <si>
    <t>Resevoior Rehabilitation Improvements Project R18 &amp; $20</t>
  </si>
  <si>
    <t>CL-2010-18</t>
  </si>
  <si>
    <t>Canceled New PWP 2010-60</t>
  </si>
  <si>
    <t>Cosmetology Lab</t>
  </si>
  <si>
    <t>CL-2010-19</t>
  </si>
  <si>
    <t>Las Vegas Paving Corp.</t>
  </si>
  <si>
    <t>Hillside Dr. &amp; Hafen Ln 2009 Overby Project</t>
  </si>
  <si>
    <t>CL-2010-20</t>
  </si>
  <si>
    <t>Wiser Construction, Limited-Liability Company</t>
  </si>
  <si>
    <t>LV Wash-Middle Branch Rainbow Storm Drain Elkhorn to Grand Teton</t>
  </si>
  <si>
    <t>CL-2010-21</t>
  </si>
  <si>
    <t>Demolition of Tompkins Maintenance Facility</t>
  </si>
  <si>
    <t>CL-2010-22</t>
  </si>
  <si>
    <t>Canceled New # CL-2009-423</t>
  </si>
  <si>
    <t>CL-2010-23</t>
  </si>
  <si>
    <t>COLV</t>
  </si>
  <si>
    <t>Martin Harris Construction</t>
  </si>
  <si>
    <t>Design/Build Water Pollution Control Facility</t>
  </si>
  <si>
    <t>CL-2010-24</t>
  </si>
  <si>
    <t>Frehner Construction Company, Inc.</t>
  </si>
  <si>
    <t>Lower Narrows &amp; Homestead Weirs</t>
  </si>
  <si>
    <t>CL-2010-25</t>
  </si>
  <si>
    <t>DU Wetlands No.1 Weir</t>
  </si>
  <si>
    <t>CL-2010-26</t>
  </si>
  <si>
    <t>Bermuda 2745 Zone Plumbing Station Discharge Pipeline, Phase II</t>
  </si>
  <si>
    <t>ES-2010-27</t>
  </si>
  <si>
    <t>EC</t>
  </si>
  <si>
    <t>Goldfield Courthouse Rehabilitation Project</t>
  </si>
  <si>
    <t>CL-2010-28</t>
  </si>
  <si>
    <t>Gold Garage Expansion Joint Repair</t>
  </si>
  <si>
    <t>CL-2010-29</t>
  </si>
  <si>
    <t>Dual Left Turn Lanes Improvements</t>
  </si>
  <si>
    <t>CL-2010-30</t>
  </si>
  <si>
    <t>2009 Asphalt Overlay</t>
  </si>
  <si>
    <t>CL-2010-31</t>
  </si>
  <si>
    <t>CL-2010-32</t>
  </si>
  <si>
    <t>Commercial Roofers, Inc.</t>
  </si>
  <si>
    <t>Roof Replacement (Gymnasium &amp; Cafeteria)</t>
  </si>
  <si>
    <t>CL-2010-33</t>
  </si>
  <si>
    <t>Dean Roofing Company</t>
  </si>
  <si>
    <t>Campus Services Building &amp; Classroom Building Complex Reroof Project</t>
  </si>
  <si>
    <t>CL-2010-34</t>
  </si>
  <si>
    <t>Intermediate Booster Station Upgrade</t>
  </si>
  <si>
    <t>CL-2010-35</t>
  </si>
  <si>
    <t>Ryan Mechanical, Inc.</t>
  </si>
  <si>
    <t>HVAC &amp; Day Lighting at Gymnasium</t>
  </si>
  <si>
    <t>NY-2010-36</t>
  </si>
  <si>
    <t>Administration Fire Suppression</t>
  </si>
  <si>
    <t>CL-2010-37</t>
  </si>
  <si>
    <t>G and S Mechanical USA, Inc.</t>
  </si>
  <si>
    <t>Terminal 1 Ticket Counter Conveyor Replacement</t>
  </si>
  <si>
    <t>CL-2010-38</t>
  </si>
  <si>
    <t>HVAC School Modernization @ Elaine Wynn ES</t>
  </si>
  <si>
    <t>CL-2010-39</t>
  </si>
  <si>
    <t>Johnson Controls, Inc.</t>
  </si>
  <si>
    <t>Development Services Expansion: Security Camera Upgrades</t>
  </si>
  <si>
    <t>CL-2010-40</t>
  </si>
  <si>
    <t>Indiana Springs Wastewatre Treatment System Upgrades</t>
  </si>
  <si>
    <t>CL-2010-41</t>
  </si>
  <si>
    <t>Southwest Ironworks, LLC</t>
  </si>
  <si>
    <t>On-Call Pavement Patching &amp; Misc Improvements</t>
  </si>
  <si>
    <t>CL-2010-42</t>
  </si>
  <si>
    <t xml:space="preserve">COH </t>
  </si>
  <si>
    <t>CL-2010-43</t>
  </si>
  <si>
    <t>Canceled Awarded Under $100,000</t>
  </si>
  <si>
    <t>Automal Interchange Ramp Signals</t>
  </si>
  <si>
    <t>CL-2010-44</t>
  </si>
  <si>
    <t>Miscellaneous Utilities Phase 4</t>
  </si>
  <si>
    <t>CL-2010-45</t>
  </si>
  <si>
    <t>CG&amp;B Eterprises, Inc.</t>
  </si>
  <si>
    <t>RMLT 13&amp;14 Equestrian Park Trailhead</t>
  </si>
  <si>
    <t>CL-2010-46</t>
  </si>
  <si>
    <t>Neon Boneyard Park</t>
  </si>
  <si>
    <t>ES-2010-47</t>
  </si>
  <si>
    <t xml:space="preserve">EC </t>
  </si>
  <si>
    <t>Silverpeak Water Systems Improvements</t>
  </si>
  <si>
    <t>CL-2010-48</t>
  </si>
  <si>
    <t>Southwest Water Reclamation Facility Offsite Improvements</t>
  </si>
  <si>
    <t>CL-2010-49</t>
  </si>
  <si>
    <t>B&amp;H Construction, Inc.</t>
  </si>
  <si>
    <t>Wetlands Park Nature Center and Park Expansion</t>
  </si>
  <si>
    <t>CL-2010-50</t>
  </si>
  <si>
    <t>East Old Mill Road 2009- Overlay Project</t>
  </si>
  <si>
    <t>CL-2010-51</t>
  </si>
  <si>
    <t>Awarded Under 100,000.00</t>
  </si>
  <si>
    <t>Olsen Street Drainage Improvements</t>
  </si>
  <si>
    <t>CL-2010-52</t>
  </si>
  <si>
    <t>CCLD</t>
  </si>
  <si>
    <t>Laughlin Library Cooling Systems Replacement</t>
  </si>
  <si>
    <t>CL-2010-53</t>
  </si>
  <si>
    <t>Communication Electronic Systems</t>
  </si>
  <si>
    <t>Las Vegas Library Fire Alarm System Replacement</t>
  </si>
  <si>
    <t>CL-2010-54</t>
  </si>
  <si>
    <t>Preferre Contracting, Inc.</t>
  </si>
  <si>
    <t>Lower Blue Diamond Detention Basin</t>
  </si>
  <si>
    <t>CL-2010-55</t>
  </si>
  <si>
    <t>Fremont Construction Company, Inc.</t>
  </si>
  <si>
    <t>Marshal's Locker Room Tenant Improvement for the Justice Facility</t>
  </si>
  <si>
    <t>CL-2010-56</t>
  </si>
  <si>
    <t>2009 Transportation Rehabilitation Stimulus Project Phase 3 Volunteer Blvd</t>
  </si>
  <si>
    <t>CL-2010-57</t>
  </si>
  <si>
    <t>2009 Transportation Rehabilitation Stimulus Project Phase 1 Green Valley Pkwy</t>
  </si>
  <si>
    <t>CL-2010-58</t>
  </si>
  <si>
    <t>2009 Transportation Rehabilitation Stimulus Project Phase 2 Americajn Pacific Dr</t>
  </si>
  <si>
    <t>CL-2010-59</t>
  </si>
  <si>
    <t>Valley View Recreation Center Roof Replacement</t>
  </si>
  <si>
    <t>CL-2010-60</t>
  </si>
  <si>
    <t>Cosmetology Lab Expansion</t>
  </si>
  <si>
    <t>CL-2010-61</t>
  </si>
  <si>
    <t>CANCELED AWARDED UNDER $100000.00</t>
  </si>
  <si>
    <t>Countywide Trash Enclosure Additions 601767</t>
  </si>
  <si>
    <t>CL-2010-62</t>
  </si>
  <si>
    <t>Big Bend Water District On-Call Services Contract 2009-2014 Phase II</t>
  </si>
  <si>
    <t>CL-2010-63</t>
  </si>
  <si>
    <t>CC 215 Bruce Woodbury Beltway Flamingo Rd Interchange Landscape B601762-09</t>
  </si>
  <si>
    <t>CL-2010-64</t>
  </si>
  <si>
    <t>Richardson Construction, Inc.</t>
  </si>
  <si>
    <t>Sunset Regional Park Improvements Phase 1A- Dog Park</t>
  </si>
  <si>
    <t>CL-2010-65</t>
  </si>
  <si>
    <t>Capriati Construction Corporation</t>
  </si>
  <si>
    <t>Flamingo Road/Las Vegas Boulevard Pedestrian</t>
  </si>
  <si>
    <t>CL-2010-66</t>
  </si>
  <si>
    <t>Pace Contracting Company</t>
  </si>
  <si>
    <t>Fire Station No. 20 601771</t>
  </si>
  <si>
    <t>CL-2010-67</t>
  </si>
  <si>
    <t>Heritage Park Campus Phase I- Dog Park 131-10-PR-135-001</t>
  </si>
  <si>
    <t>CL-2010-68</t>
  </si>
  <si>
    <t xml:space="preserve">CCPC </t>
  </si>
  <si>
    <t>Hardy Construction, Inc.</t>
  </si>
  <si>
    <t>Hollywood Regional Park Aquatic Center</t>
  </si>
  <si>
    <t>CL-2010-69</t>
  </si>
  <si>
    <t>Elko</t>
  </si>
  <si>
    <t>Washoe</t>
  </si>
  <si>
    <t>CC</t>
  </si>
  <si>
    <t xml:space="preserve">Is Not Surveyed Comes From Laborers </t>
  </si>
  <si>
    <t>Lyon</t>
  </si>
  <si>
    <t>Lyon (4 hrs)</t>
  </si>
  <si>
    <t>Not Surveyed</t>
  </si>
  <si>
    <t>Pershing</t>
  </si>
  <si>
    <t>Nye</t>
  </si>
  <si>
    <t>(22 hrs)</t>
  </si>
  <si>
    <t>Not Surveyed Laborers Union</t>
  </si>
  <si>
    <t>CC (52 hrs)</t>
  </si>
  <si>
    <t>Union % Difference</t>
  </si>
  <si>
    <t>Esmeralda</t>
  </si>
  <si>
    <t>Equipment Greaser</t>
  </si>
  <si>
    <t>Non-Union % Difference</t>
  </si>
  <si>
    <t>FLAGPERSON (not surveyed set by Laborers Union every year)</t>
  </si>
  <si>
    <t>Eureka</t>
  </si>
  <si>
    <t>Churchill</t>
  </si>
  <si>
    <t>Lander</t>
  </si>
  <si>
    <t>Humboldt</t>
  </si>
  <si>
    <t>AIR BALANCE TECHNICIAN</t>
  </si>
  <si>
    <t>ADD SHEET METAL ZONE RATE</t>
  </si>
  <si>
    <t>Air Balance-Journeyman</t>
  </si>
  <si>
    <t>Air Balance-Foreman</t>
  </si>
  <si>
    <t>Air Balance-General Foreman</t>
  </si>
  <si>
    <t>ALARM INSTALLER</t>
  </si>
  <si>
    <t>Alarm Installer-Journeyman </t>
  </si>
  <si>
    <t>BOILERMAKER</t>
  </si>
  <si>
    <t>Boilermaker</t>
  </si>
  <si>
    <t>BRICKLAYER</t>
  </si>
  <si>
    <t>ADD ZONE RATE</t>
  </si>
  <si>
    <t>Bricklayer-Journeyman</t>
  </si>
  <si>
    <t>Bricklayer-Foreman</t>
  </si>
  <si>
    <t>Bricklayer-General Foreman</t>
  </si>
  <si>
    <t>CARPENTER</t>
  </si>
  <si>
    <t>Carpenter-Journeyman</t>
  </si>
  <si>
    <t>Carpenter-Foreman</t>
  </si>
  <si>
    <t>CEMENT MASON</t>
  </si>
  <si>
    <t>CL-2010-82</t>
  </si>
  <si>
    <t>Kell Lane Storm Nellis Boulevard To Lamont Street  B601787-09</t>
  </si>
  <si>
    <t>CL-2010-83</t>
  </si>
  <si>
    <t>Cement Mason-Journeyman</t>
  </si>
  <si>
    <t>Cement Mason-Foreman</t>
  </si>
  <si>
    <t>ELECTRICIAN COMMUNICATION TECHNICIAN </t>
  </si>
  <si>
    <t>Communication Technician-Installer</t>
  </si>
  <si>
    <t>Communication Technician</t>
  </si>
  <si>
    <t>Communication-Senior Technician</t>
  </si>
  <si>
    <t>ELECTRICIAN-LINE</t>
  </si>
  <si>
    <t>Electrician-Groundman</t>
  </si>
  <si>
    <t>Electrician-Lineman</t>
  </si>
  <si>
    <t>Electrician-Foreman</t>
  </si>
  <si>
    <t>Electrician-General Foreman</t>
  </si>
  <si>
    <t>Heavy Equipment Operator</t>
  </si>
  <si>
    <t>ELECTRICIAN-NEON SIGN</t>
  </si>
  <si>
    <t>-</t>
  </si>
  <si>
    <t>Electrician-Neon Sign</t>
  </si>
  <si>
    <t>ELECTRICIAN-WIREMAN</t>
  </si>
  <si>
    <t>Wireman</t>
  </si>
  <si>
    <t>Cable Splicer</t>
  </si>
  <si>
    <t>Wireman-Foreman</t>
  </si>
  <si>
    <t>Wireman-General Foreman</t>
  </si>
  <si>
    <t>ELEVATOR CONSTRUCTOR</t>
  </si>
  <si>
    <t>Elevator Constructor-Journeyman Mechanic</t>
  </si>
  <si>
    <t>Elevator Constructor-Mechanic in Charge</t>
  </si>
  <si>
    <t>FENCE ERECTOR</t>
  </si>
  <si>
    <t>Fence Erector</t>
  </si>
  <si>
    <t>FLAGPERSON</t>
  </si>
  <si>
    <t>ADD LABORER ZONE RATE</t>
  </si>
  <si>
    <t>Flagperson</t>
  </si>
  <si>
    <t>FLOOR COVERER</t>
  </si>
  <si>
    <t>Floor Coverer-Journeyman</t>
  </si>
  <si>
    <t>Floor Coverer-Foreman</t>
  </si>
  <si>
    <t>GLAZIER</t>
  </si>
  <si>
    <t>Glazier</t>
  </si>
  <si>
    <t>HIGHWAY STRIPER</t>
  </si>
  <si>
    <t>Highway Striper</t>
  </si>
  <si>
    <t>HOD CARRIER-BRICK MASON TENDER</t>
  </si>
  <si>
    <t>Brick Mason-Journeyman</t>
  </si>
  <si>
    <t>Brick Maons-Foreman</t>
  </si>
  <si>
    <t>HOD CARRIER-PLASTER TENDER </t>
  </si>
  <si>
    <t>Plasterer Tender-Journeyman</t>
  </si>
  <si>
    <t>Plasterer-Gun Tender</t>
  </si>
  <si>
    <t>Plasterer Tender-Foreman</t>
  </si>
  <si>
    <t>IRON WORKER</t>
  </si>
  <si>
    <t>SEE AMENDMENT 1</t>
  </si>
  <si>
    <t>Ironworker-Journeyman</t>
  </si>
  <si>
    <t>Ironworker-Foreman</t>
  </si>
  <si>
    <t>Ironworker-General Foreman</t>
  </si>
  <si>
    <t>LABORER</t>
  </si>
  <si>
    <t>SEE GROUP CLASSIFICATIONS</t>
  </si>
  <si>
    <t>ADD ZONE RATE  </t>
  </si>
  <si>
    <t>Landscaper</t>
  </si>
  <si>
    <t>Furniture Mover</t>
  </si>
  <si>
    <t>Group 1</t>
  </si>
  <si>
    <t>Group 1A</t>
  </si>
  <si>
    <t>Group 2</t>
  </si>
  <si>
    <t>Group 3</t>
  </si>
  <si>
    <t>Group 4</t>
  </si>
  <si>
    <t>Group 4A</t>
  </si>
  <si>
    <t>Group 5</t>
  </si>
  <si>
    <t>Group 6</t>
  </si>
  <si>
    <t>Nozzlemen, Rodmen</t>
  </si>
  <si>
    <t>Gunmen, Materialmen</t>
  </si>
  <si>
    <t>Reboundmen</t>
  </si>
  <si>
    <t>Gunite Foremen</t>
  </si>
  <si>
    <t>MECHANICAL INSULATOR </t>
  </si>
  <si>
    <t>SEE AMENDMENT 2</t>
  </si>
  <si>
    <t>Mechanical Insulator-Mechanic</t>
  </si>
  <si>
    <t>Mechanical Insulator-Foreman</t>
  </si>
  <si>
    <t>Mechanical Insulator-General Foreman</t>
  </si>
  <si>
    <t>MILLWRIGHT </t>
  </si>
  <si>
    <t>Millwright</t>
  </si>
  <si>
    <t>OPERATING ENGINEER </t>
  </si>
  <si>
    <t>Group 7</t>
  </si>
  <si>
    <t>Group 8</t>
  </si>
  <si>
    <t>Group 9</t>
  </si>
  <si>
    <t>Group 10</t>
  </si>
  <si>
    <t>Group 10A</t>
  </si>
  <si>
    <t>Group 11</t>
  </si>
  <si>
    <t>Group 11A</t>
  </si>
  <si>
    <t>Group 11B</t>
  </si>
  <si>
    <t>Foreman</t>
  </si>
  <si>
    <t>Add 7% to base rate for "Second" Shift</t>
  </si>
  <si>
    <t>Add 12.5% to base rate for "Special" shift</t>
  </si>
  <si>
    <t>OPERATING ENGINEER-STEEL FABRICATOR &amp; ERECTOR </t>
  </si>
  <si>
    <t>Group 1 Truck Crane Oiler</t>
  </si>
  <si>
    <t>Group 1 Oiler</t>
  </si>
  <si>
    <t>Group 2 Truck Crane Oiler</t>
  </si>
  <si>
    <t>Group 2 Oiler</t>
  </si>
  <si>
    <t>Group 3 Truck Crane Oiler</t>
  </si>
  <si>
    <t>Group 3 Oiler</t>
  </si>
  <si>
    <t>Group 3 Hydraulic</t>
  </si>
  <si>
    <t>Add 12.5% to base rate for "Special" Shift</t>
  </si>
  <si>
    <t>OPERATING ENGINEER -PILEDRIVER </t>
  </si>
  <si>
    <t>Add 7% to base for "Second" Shift</t>
  </si>
  <si>
    <t>Add 12.5% to base for "Special" Shift</t>
  </si>
  <si>
    <t>PAINTER </t>
  </si>
  <si>
    <t>Brush/Roller Painter</t>
  </si>
  <si>
    <t>Spray Painter/Paperhanger</t>
  </si>
  <si>
    <t>Sandblaster</t>
  </si>
  <si>
    <t>Structural Steel &amp; Steeplejack</t>
  </si>
  <si>
    <t>Swing Stage</t>
  </si>
  <si>
    <t>Special Coating Application-Brush</t>
  </si>
  <si>
    <t>Special Coating Application-Spray</t>
  </si>
  <si>
    <t>Special Coating Application-Spray Steel</t>
  </si>
  <si>
    <t>$1.00 above highest Journeyman </t>
  </si>
  <si>
    <t>PILEDRIVER</t>
  </si>
  <si>
    <t>Piledriver-Journeyman</t>
  </si>
  <si>
    <t>Piledriver-Foreman</t>
  </si>
  <si>
    <t>PLASTERER </t>
  </si>
  <si>
    <t>Plasterer-Journeyman</t>
  </si>
  <si>
    <t>Plasterer-Foreman</t>
  </si>
  <si>
    <t>PLUMBER/PIPEFITTER</t>
  </si>
  <si>
    <t>Plumber-Journeyman</t>
  </si>
  <si>
    <t>Plumber-Foreman</t>
  </si>
  <si>
    <t>Plumber-General Foreman</t>
  </si>
  <si>
    <t>REFRIGERATION</t>
  </si>
  <si>
    <t>Refrigeration-Journeyman</t>
  </si>
  <si>
    <r>
      <t xml:space="preserve">ROOFER </t>
    </r>
    <r>
      <rPr>
        <sz val="10"/>
        <rFont val="Arial"/>
      </rPr>
      <t>(Does not include sheet metal roofs)</t>
    </r>
  </si>
  <si>
    <t>Roofer</t>
  </si>
  <si>
    <t>SHEET METAL WORKER</t>
  </si>
  <si>
    <t>Sheet Metal-Journeyman</t>
  </si>
  <si>
    <t>Sheet Metal-Foreman</t>
  </si>
  <si>
    <t>Sheet Metal-General Foreman</t>
  </si>
  <si>
    <t>SPRINKLER FITTER</t>
  </si>
  <si>
    <t>Sprinkler Fitter-Journeyman</t>
  </si>
  <si>
    <t>Sprinkler Fitter-Foreman</t>
  </si>
  <si>
    <t>Sprinkler Fitter-General Foreman</t>
  </si>
  <si>
    <t>SURVEYOR</t>
  </si>
  <si>
    <t>ADD OPERATING ENG. ZONE RATE</t>
  </si>
  <si>
    <t>Surveyor</t>
  </si>
  <si>
    <t>TAPER</t>
  </si>
  <si>
    <t>Taper</t>
  </si>
  <si>
    <t>TILE SETTER/TERRAZZO WORKER/MARBLE MASON-FINISHER</t>
  </si>
  <si>
    <t>Tile, Terrazzo and Marble Finisher</t>
  </si>
  <si>
    <t>TILE SETTER/TERRAZZO WORKER/MARBLE MASON</t>
  </si>
  <si>
    <t>Tile Setter-Journeyman</t>
  </si>
  <si>
    <t>Tile Setter-Foreman</t>
  </si>
  <si>
    <t>Tile Setter-General Foreman</t>
  </si>
  <si>
    <t>Terrazzo/Marble Mason-Journeyman</t>
  </si>
  <si>
    <t>Terrazzo/Marble Mason-Foreman</t>
  </si>
  <si>
    <t>Terrazzo/Marble Mason-General Foreman</t>
  </si>
  <si>
    <t>TRAFFIC BARRIER ERECTOR</t>
  </si>
  <si>
    <t>Traffic Barrier Erector</t>
  </si>
  <si>
    <t>TRUCK DRIVER </t>
  </si>
  <si>
    <t>Truck Driver</t>
  </si>
  <si>
    <t>WELL DRILLER </t>
  </si>
  <si>
    <t>Well Driller</t>
  </si>
  <si>
    <t>LUBRICATION AND SERVICE ENGINEER (MOBILE AND GREASE RACK)</t>
  </si>
  <si>
    <t>ADD OPERATING  ENG. ZONE RATE</t>
  </si>
  <si>
    <t>Lubrication and Service Engineer (mobile and grease rack)</t>
  </si>
  <si>
    <t>SOIL TESTER (CERTIFIED)</t>
  </si>
  <si>
    <t>Soil Tester (Certified)</t>
  </si>
  <si>
    <t>SOILS AND MATERIALS TESTER</t>
  </si>
  <si>
    <t>Soils and Materials Tester</t>
  </si>
  <si>
    <t>Alarm Installer </t>
  </si>
  <si>
    <t>ELECTRICIAN-COMMUNICATION TECHNICIAN </t>
  </si>
  <si>
    <t>Electrician-Communication Technician-Installer</t>
  </si>
  <si>
    <t>Electrician-Communication Technician-Technician</t>
  </si>
  <si>
    <t>Electrician-Communication Technician-Senior Technician</t>
  </si>
  <si>
    <t>Journeyman Mechanic</t>
  </si>
  <si>
    <t>Mechanic In Charge</t>
  </si>
  <si>
    <t>ADD LABORER ZONE RATE </t>
  </si>
  <si>
    <t>Brick Mason-Foreman</t>
  </si>
  <si>
    <t>HOD CARRIER-PLASTERER TENDER </t>
  </si>
  <si>
    <t>Ironworker</t>
  </si>
  <si>
    <t>LABORER </t>
  </si>
  <si>
    <t>Gunman, Rodmen</t>
  </si>
  <si>
    <t xml:space="preserve">MECHANICAL INSULATOR </t>
  </si>
  <si>
    <t>SEE AMENDMENT 2-</t>
  </si>
  <si>
    <r>
      <t>ADD ZONE RATE</t>
    </r>
    <r>
      <rPr>
        <sz val="10"/>
        <rFont val="Arial"/>
      </rPr>
      <t xml:space="preserve"> </t>
    </r>
  </si>
  <si>
    <t>OPERATING ENGINEER-STEEL FABRICATOR &amp; ERECTOR</t>
  </si>
  <si>
    <r>
      <t> </t>
    </r>
    <r>
      <rPr>
        <b/>
        <sz val="10"/>
        <rFont val="Arial"/>
      </rPr>
      <t>SEE GROUP CLASSIFICATIONS</t>
    </r>
  </si>
  <si>
    <t>OPERATING ENGINEER -PILEDRIVER</t>
  </si>
  <si>
    <t>Plasterer</t>
  </si>
  <si>
    <t>Plumber</t>
  </si>
  <si>
    <t>Refrigeration</t>
  </si>
  <si>
    <t>Sheet Metal</t>
  </si>
  <si>
    <t>-ADD ZONE RATE</t>
  </si>
  <si>
    <t>Tile Setter/Terrazzo Worker/Marble Mason</t>
  </si>
  <si>
    <t>Dump Trucks (Single or Multiple Units Including Semi's &amp; Double Transfer Units), Dumpcretes and Bulk Cement Spreader)</t>
  </si>
  <si>
    <t>Under 4 yds. (water level)</t>
  </si>
  <si>
    <t>4 yds. &amp; under 8 yds. (water level)</t>
  </si>
  <si>
    <t>8 yds. &amp; under 18 yds. (water level)</t>
  </si>
  <si>
    <t>18 yds. &amp; under 25 yds. ( water level)</t>
  </si>
  <si>
    <t>25 yds. &amp; under 60 yds. (water level)</t>
  </si>
  <si>
    <t>60 yds. &amp; under 75 yds. (water level)</t>
  </si>
  <si>
    <t>75 yds. &amp; under 100 yds. (water level)</t>
  </si>
  <si>
    <t>100 yds. &amp; under 150 yds.(water level)</t>
  </si>
  <si>
    <t>150 yds. &amp; under 250 yds. ( water level)</t>
  </si>
  <si>
    <t>250 yds. &amp; under 350 yds. (water level)</t>
  </si>
  <si>
    <t>350 yds. &amp; over (water level)</t>
  </si>
  <si>
    <t>Transit Mix</t>
  </si>
  <si>
    <t>Under 8 yds. </t>
  </si>
  <si>
    <t>8 yds. &amp; including 12 yds.</t>
  </si>
  <si>
    <t>Over 12 yds.</t>
  </si>
  <si>
    <t>Transit Mix (Using Boom)</t>
  </si>
  <si>
    <t>Transit mix with boom shall receive 16 cents per hour</t>
  </si>
  <si>
    <t>above the appropriate yardage classification rate of pay </t>
  </si>
  <si>
    <t>when such boom is used</t>
  </si>
  <si>
    <t>Water &amp; Jetting Trucks</t>
  </si>
  <si>
    <t>Up to 2,500 gallons</t>
  </si>
  <si>
    <t>2,500 gallons &amp; over</t>
  </si>
  <si>
    <t>DW 20's &amp; 21's &amp; other similar Cat type, Terry Cobra LeTourneau pulls, Tournerocker, Euclid, &amp; similar type equipment when pulling Aqua/Pak, Water Tank Trailers, &amp; Fuel, and/or Grease Tank Trailer, or other miscellaneous Trailers, (except as defined under "Dump Trucks")</t>
  </si>
  <si>
    <t>Heavy Duty Transport (High Bed)</t>
  </si>
  <si>
    <t>Heavy Duty Transport(Gooseneck low bed)</t>
  </si>
  <si>
    <t>Tiltbed or Flatbed Pull Trailers</t>
  </si>
  <si>
    <t>Bootman, Comb. Bootman &amp; Road Oiler</t>
  </si>
  <si>
    <t>Flat Rack (2 or 3 axle unit)</t>
  </si>
  <si>
    <t>Bus &amp; Manhaul Drivers</t>
  </si>
  <si>
    <t>Up to 18,000 lbs. (single unit)</t>
  </si>
  <si>
    <t>18,000 lbs. &amp; over (single unit)</t>
  </si>
  <si>
    <t>Helicopter Pilot (transporting men/materials)</t>
  </si>
  <si>
    <t>Lift Jitneys</t>
  </si>
  <si>
    <t>Winch Truck &amp; "A" Frame Drivers</t>
  </si>
  <si>
    <t>Up to 18,000 lbs.</t>
  </si>
  <si>
    <t>18,000 lbs. and over</t>
  </si>
  <si>
    <t>Warehousemen Spotter</t>
  </si>
  <si>
    <t>Warehouse Clerk</t>
  </si>
  <si>
    <t>Tire Repairmen</t>
  </si>
  <si>
    <t>Truck Repairmen</t>
  </si>
  <si>
    <t>Pick Up Truck &amp; Pilot Cars (Jobsite)</t>
  </si>
  <si>
    <t>Pick Up Truck &amp; Pilot Cars (Over the road)</t>
  </si>
  <si>
    <t>Truck Oil Greaser</t>
  </si>
  <si>
    <t>Fuel Truck Driver</t>
  </si>
  <si>
    <t>Fuel Man &amp; Fuel Island Man</t>
  </si>
  <si>
    <t>Oil Tanker</t>
  </si>
  <si>
    <t>Oil Tanker with Pup</t>
  </si>
  <si>
    <t>Foreman:</t>
  </si>
  <si>
    <t>ADD OPERATING ENG.ZONE RATE</t>
  </si>
  <si>
    <t>Air Balance Technician-Journeyman</t>
  </si>
  <si>
    <t>Air Balance Technician-Foreman</t>
  </si>
  <si>
    <t>Air Balance Technician-General Foreman</t>
  </si>
  <si>
    <t>Alarm Installer-Journeyman</t>
  </si>
  <si>
    <t>ADD ZONE RATE-</t>
  </si>
  <si>
    <t>Carpenter-Welder</t>
  </si>
  <si>
    <t>Carpenter-General Foreman</t>
  </si>
  <si>
    <t>Cement Mason-General Foreman</t>
  </si>
  <si>
    <t>ELECTRICIAN- COMMUNICATION TECHNICIAN</t>
  </si>
  <si>
    <t>Installer/Technician</t>
  </si>
  <si>
    <t>Senior Installer/Technician</t>
  </si>
  <si>
    <t>Installer/Technician Foreman</t>
  </si>
  <si>
    <t>Installer/Technician General Foreman</t>
  </si>
  <si>
    <t>ELECTRICIAN-LINEMAN/GROUNDMAN/HEAVY EQUIPMENT OPERATOR</t>
  </si>
  <si>
    <t>Groundman</t>
  </si>
  <si>
    <t>Lineman</t>
  </si>
  <si>
    <t>General Foreman</t>
  </si>
  <si>
    <t>Wireman-Journeyman</t>
  </si>
  <si>
    <t>Wireman-Cable Splicer</t>
  </si>
  <si>
    <t>Elevator Constructor-Mechanic In Charge</t>
  </si>
  <si>
    <t>Floor Coverer-Joureyman</t>
  </si>
  <si>
    <t>Glazier-Journeyman</t>
  </si>
  <si>
    <t>Glazier-Foreman</t>
  </si>
  <si>
    <t>HOD CARRIER-BRICK MASON TENDER   </t>
  </si>
  <si>
    <t>Brick Mason</t>
  </si>
  <si>
    <t>HOD CARRIER-PLASTERER TENDER</t>
  </si>
  <si>
    <t>Plasterer Tender-General Foreman</t>
  </si>
  <si>
    <t>Group 6A</t>
  </si>
  <si>
    <t>Group 6B</t>
  </si>
  <si>
    <t>Group 6C</t>
  </si>
  <si>
    <t>Group 6D</t>
  </si>
  <si>
    <t>Group 6E</t>
  </si>
  <si>
    <t>Foreman $2.00 above highest paid journeyman supervised.</t>
  </si>
  <si>
    <t>General Foreman $3.00 above highest paid foreman supervised.</t>
  </si>
  <si>
    <t>Mechanical Insulator-Journeyman</t>
  </si>
  <si>
    <t xml:space="preserve">MILLWRIGHT                                                                </t>
  </si>
  <si>
    <t>Millwright-Journeyman</t>
  </si>
  <si>
    <t>Millwright-Welder</t>
  </si>
  <si>
    <t>Millwright-Foreman</t>
  </si>
  <si>
    <t>Millwright-General Foreman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</si>
  <si>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</si>
  <si>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</si>
  <si>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</si>
  <si>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</si>
  <si>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</si>
  <si>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</si>
  <si>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</si>
  <si>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</si>
  <si>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</si>
  <si>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</si>
  <si>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</si>
  <si>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</si>
  <si>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</si>
  <si>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Group 25</t>
  </si>
  <si>
    <t>Add $.50 per hour for "Special" Shift</t>
  </si>
  <si>
    <t>Add $1.00 per hour for "Multiple" Shift</t>
  </si>
  <si>
    <t>OPERATING ENGINEER:</t>
  </si>
  <si>
    <t>CRANES, PILEDRIVING, &amp; HOISTING EQUIPMENT</t>
  </si>
  <si>
    <t>Engineer Oiler</t>
  </si>
  <si>
    <t>Forklift Operator</t>
  </si>
  <si>
    <t>Truck Crane Oiler</t>
  </si>
  <si>
    <t>A-Frame or Winch Truck Operator</t>
  </si>
  <si>
    <t>Ross Carrier Operator (Jobsite)</t>
  </si>
  <si>
    <t>Bridge-Type Unloader and Turntable Operator</t>
  </si>
  <si>
    <t>Helicopter Hoist Operator</t>
  </si>
  <si>
    <t>Hydraulic Boom Truck (Pitman)</t>
  </si>
  <si>
    <t>Stinger Crane (Austin-Western or Similar Type)</t>
  </si>
  <si>
    <t>Tugger Hoist Operator (1 Drum)</t>
  </si>
  <si>
    <t>Bridge Crane Operator</t>
  </si>
  <si>
    <t>Cretor Crane Operator</t>
  </si>
  <si>
    <t>Hoist Operator (Chicago Boom and Similar Type)</t>
  </si>
  <si>
    <t>Lift Mobile Operator</t>
  </si>
  <si>
    <t>Lift Slab Machine Operator (Vagtborg and Similar Types)</t>
  </si>
  <si>
    <t>Material Hoist/Manlift Operator</t>
  </si>
  <si>
    <t>Polar Gantry Crane Operator</t>
  </si>
  <si>
    <t>Self Climbing Scaffold (or Similar Type)</t>
  </si>
  <si>
    <t>Shovel, Backhoe, Dragline, Clamshell Operator (Over 3/4 YD. and up to 5 CU. YDS. M.R.C.)</t>
  </si>
  <si>
    <t>Silent Piler</t>
  </si>
  <si>
    <t>Tugger Hoist Operator (2 Drum)</t>
  </si>
  <si>
    <t>Pedestal Crane Operator</t>
  </si>
  <si>
    <t>Shovel, Backhoe, Dragline, Clamshell Operator (over 5 CU. YDS. M.R.C.)</t>
  </si>
  <si>
    <t>Tower Crane Repairman</t>
  </si>
  <si>
    <t>Tugger Hoist Operator (3 Drum)</t>
  </si>
  <si>
    <t>Crane Operator (up to and including 25 ton capacity)</t>
  </si>
  <si>
    <t>Crawler Transporter Operator</t>
  </si>
  <si>
    <t>Derrick Barge Operator (up to and including 25 ton capacity)</t>
  </si>
  <si>
    <t>Hoist Operator, Stiff Legs, Guy Derrick or Similar Type (up to and including 25 ton capacity)</t>
  </si>
  <si>
    <t>Shovel, Backhoe, Dragline, Clamshell Operator (over 7 CU. YDS. M.R.C.)</t>
  </si>
  <si>
    <t>Crane Operator (over 25 tons up to and including 50 tons M.R.C.)</t>
  </si>
  <si>
    <t>Derrick Barge Operator (over 25 tons, up to and including 50 tons M.R.C.)</t>
  </si>
  <si>
    <t>Highline Cableway Operator</t>
  </si>
  <si>
    <t>Hoise Operator, Stiff Legs, Guy Derrick or Similar Type (over 25 tons, up to and including 50 tons M.R.C.)</t>
  </si>
  <si>
    <t>K-Crane</t>
  </si>
  <si>
    <t>Polar Crane Operator</t>
  </si>
  <si>
    <t>Self Erecting Tower Crane Operator Maximum Lifting Capacity Ten (10) Tons. One (1) Ton Operator).</t>
  </si>
  <si>
    <t>Crane Operator (over 50 tons, up to and including 100 tons M.R.C.)</t>
  </si>
  <si>
    <t>Derrick Barge Operator (over 50 tons, up to and including 100 tons M.R.C.)</t>
  </si>
  <si>
    <t>Hoist Operator, Stiff Legs, Guy Derrick or Similar Type (over 50 tons, up to and including 100 tons M.R.C.)</t>
  </si>
  <si>
    <t>Mobile Tower Crane Operator (over 50 tons, up to and including 100 tons M.R.C.)</t>
  </si>
  <si>
    <t>Crane Operator (over 100 tons, up to and including 200 tons M.R.C.)</t>
  </si>
  <si>
    <t>Derrick Barge Operator (over 100 tons, up to and including 200 tons M.R.C.)</t>
  </si>
  <si>
    <t>Hoist Operator, Stiff Legs, Guy Derrick or Similar Type (over100 tons, up to and including 200 tons M.R.C.)</t>
  </si>
  <si>
    <t>Mobile Tower Crane Operator (over 100 tons, up to and including 200 tons M.R.C.)</t>
  </si>
  <si>
    <t>Tower Crane Operator and Tower Gantry</t>
  </si>
  <si>
    <t>Crane Operator (over 200 tons up to and including 300 tons M.R.C.)</t>
  </si>
  <si>
    <t>Derrick Barge Operator (over 200 tons up to and including 300 tons M.R.C.)</t>
  </si>
  <si>
    <t>Hoist Operator, Stiff Legs, Guy Derrick or Similar Type (over 200 tons up to and including 300 tons M.R.C.)</t>
  </si>
  <si>
    <t>Mobile Tower Crane Operator (over 200 tons up to and including 300 tons M.R.C.)</t>
  </si>
  <si>
    <t>Crane Operator (over 300 tons)</t>
  </si>
  <si>
    <t>Derrick Barge Operator (over 300 tons)</t>
  </si>
  <si>
    <t>Helicopter Pilot</t>
  </si>
  <si>
    <t>Hoist Operator, Stiff Legs, Guy Derrick or Similar Type (over 300 tons)</t>
  </si>
  <si>
    <t>Mobile Tower Crane Operator (over 300 tons)</t>
  </si>
  <si>
    <t>Add $ .50 per hour for "Special" Shift</t>
  </si>
  <si>
    <t>OPERATING ENGINEER-SURVEYOR</t>
  </si>
  <si>
    <t>OPERATING ENGINEER -TUNNEL</t>
  </si>
  <si>
    <t>PAINTER</t>
  </si>
  <si>
    <t>Painter-Journeyman</t>
  </si>
  <si>
    <t>Painter-Foreman</t>
  </si>
  <si>
    <t>Driverman, Rigman, Bridge and Dock Carpenter</t>
  </si>
  <si>
    <t>Certified Welder</t>
  </si>
  <si>
    <t>Diver-Diving (wet pay)</t>
  </si>
  <si>
    <t>Stand-By Diver</t>
  </si>
  <si>
    <t>Tender</t>
  </si>
  <si>
    <t>PLASTERER</t>
  </si>
  <si>
    <t>Plasterer-General Foreman</t>
  </si>
  <si>
    <t>Plumber/Pipefitter-Journeyman</t>
  </si>
  <si>
    <t>Refrigeration-Foreman</t>
  </si>
  <si>
    <t>Refrigeration-General Foreman</t>
  </si>
  <si>
    <t>ROOFER </t>
  </si>
  <si>
    <t>(Does not include sheet metal roofs)</t>
  </si>
  <si>
    <t>Roofer-Journeyman</t>
  </si>
  <si>
    <t>Roofer-Foreman</t>
  </si>
  <si>
    <r>
      <t>TILE SETTER/TERRAZZO WORKER/MARBLE MASON  </t>
    </r>
    <r>
      <rPr>
        <sz val="10"/>
        <rFont val="Arial"/>
      </rPr>
      <t> </t>
    </r>
  </si>
  <si>
    <t>Tile Setter/Terrazzo Worker/Marble Mason-Finisher</t>
  </si>
  <si>
    <t>Tile Setter</t>
  </si>
  <si>
    <t>Terrazzo Worker/Marble Mason</t>
  </si>
  <si>
    <t>ADD LABORER ZONE RATE-</t>
  </si>
  <si>
    <t>Foreman $1.00 above highest paid journeyman supervised.</t>
  </si>
  <si>
    <t>WELL DRILLER</t>
  </si>
  <si>
    <t>ADD OPERATING ENGINEER ZONE RATE</t>
  </si>
  <si>
    <t>EQUIPMENT GREASER (RACK)</t>
  </si>
  <si>
    <t>Equipment Greaser (rack)</t>
  </si>
  <si>
    <t>EQUIPMENT GREASER (GREASE TRUCK)</t>
  </si>
  <si>
    <t>Equipment Greaser (grease truck)</t>
  </si>
  <si>
    <t>EQUIPMENT GREASER (GREASE TRUCK/MULTI-SHIFT)</t>
  </si>
  <si>
    <t>Equipment Greaser (grease truck/multi-shift)</t>
  </si>
  <si>
    <t>TUNNEL, EQUIPMENT GREASER (GREASE TRUCK)</t>
  </si>
  <si>
    <t>Tunnel, Equipment Greaser (grease truck)</t>
  </si>
  <si>
    <t>FIELD SOILS AND MATERIAL TESTER</t>
  </si>
  <si>
    <t>Field Soils and Material Tester</t>
  </si>
  <si>
    <t>FIELD ASPHALTIC CONCRETE (SOILS AND MATERIAL TESTER)</t>
  </si>
  <si>
    <t>Field Asphaltic Concrete (soils and material tester)</t>
  </si>
  <si>
    <t>Alarm Installer</t>
  </si>
  <si>
    <t>Bricklayer</t>
  </si>
  <si>
    <t>Communication Installer</t>
  </si>
  <si>
    <t>Communication Technician </t>
  </si>
  <si>
    <t>Senior Technician</t>
  </si>
  <si>
    <t>ADD  ZONE RATE</t>
  </si>
  <si>
    <t>Plasterer Tender-Gun Tender</t>
  </si>
  <si>
    <t xml:space="preserve">MILLWRIGHT  </t>
  </si>
  <si>
    <t>OPERATING ENGINEER  </t>
  </si>
  <si>
    <t xml:space="preserve">ADD ZONE RATE </t>
  </si>
  <si>
    <t>Refrigeration </t>
  </si>
  <si>
    <r>
      <t>ROOFER</t>
    </r>
    <r>
      <rPr>
        <sz val="10"/>
        <rFont val="Arial"/>
      </rPr>
      <t xml:space="preserve"> (Does not include sheet metal roofs)</t>
    </r>
  </si>
  <si>
    <t>Roofer </t>
  </si>
  <si>
    <t>Tile Setter-General Formean</t>
  </si>
  <si>
    <t>TRUCK DRIVER</t>
  </si>
  <si>
    <t>Boilermaker-Journeyman</t>
  </si>
  <si>
    <t>Boilermaker-Foreman</t>
  </si>
  <si>
    <t>Boilermaker-General Foreman</t>
  </si>
  <si>
    <t>Carpenter</t>
  </si>
  <si>
    <t>Electrician-Equipment Specialist</t>
  </si>
  <si>
    <t>ADD ZONE RATE</t>
  </si>
  <si>
    <t>SEE AMENDMENT 1-</t>
  </si>
  <si>
    <t>MILLWRIGHT</t>
  </si>
  <si>
    <t>Plumber/Pipefitter</t>
  </si>
  <si>
    <t>Sheet Metal Worker</t>
  </si>
  <si>
    <t>Well Driller </t>
  </si>
  <si>
    <t>Electrician-Communication Technician</t>
  </si>
  <si>
    <t>MECHANICAL INSULATOR</t>
  </si>
  <si>
    <t xml:space="preserve">SEE GROUP CLASSIFICATIONS </t>
  </si>
  <si>
    <t xml:space="preserve">PLASTERER  </t>
  </si>
  <si>
    <r>
      <t>ROOFER</t>
    </r>
    <r>
      <rPr>
        <sz val="10"/>
        <rFont val="Arial"/>
      </rPr>
      <t xml:space="preserve">  </t>
    </r>
  </si>
  <si>
    <t>Sheet Metal Worker-Journeyman</t>
  </si>
  <si>
    <t>Sheet Metal Worker-Foreman</t>
  </si>
  <si>
    <t>Sheet Metal Worker-General Foreman</t>
  </si>
  <si>
    <t>ADD ZONE RATE--</t>
  </si>
  <si>
    <t>Communication-Installer/Technician</t>
  </si>
  <si>
    <t>Electrician-Wireman</t>
  </si>
  <si>
    <t>Electrician-Cable Splicer</t>
  </si>
  <si>
    <t>Plaster Tender-Foreman</t>
  </si>
  <si>
    <t>OPERATING ENGINEER</t>
  </si>
  <si>
    <t>Foreman $1.00 above highest Journeyman </t>
  </si>
  <si>
    <t>Cement Mason</t>
  </si>
  <si>
    <t>Equipment Specialist</t>
  </si>
  <si>
    <t xml:space="preserve">ADD LABORER ZONE RATE </t>
  </si>
  <si>
    <t xml:space="preserve">LABORER  </t>
  </si>
  <si>
    <t>Laborer</t>
  </si>
  <si>
    <t>Sheet Metal Worker</t>
  </si>
  <si>
    <t>HOD CARRIER-BRICK MASON TENDER     </t>
  </si>
  <si>
    <t> ADD ZONE RATE</t>
  </si>
  <si>
    <t>Electrician-Communication Installer</t>
  </si>
  <si>
    <t>Electrician-Communication Senior Technician</t>
  </si>
  <si>
    <t xml:space="preserve">PLASTERER   </t>
  </si>
  <si>
    <t>Plumber/Pipefitter-Foreman</t>
  </si>
  <si>
    <t>Plumber/Pipefitter-General Foreman</t>
  </si>
  <si>
    <t>Refrigeration Journeyman</t>
  </si>
  <si>
    <t>Journeyman</t>
  </si>
  <si>
    <t>ADD LABORER  ZONE RATE</t>
  </si>
  <si>
    <t>Sprinkler Fitter Journeyman</t>
  </si>
  <si>
    <t>Sprinkler Fitter Foreman</t>
  </si>
  <si>
    <t>Sprinkler Fitter General Foreman</t>
  </si>
  <si>
    <t>Elevator Construction-Mechanic In Charge</t>
  </si>
  <si>
    <t>ELECTRICIAN- COMMUNICATION TECHNICIAN </t>
  </si>
  <si>
    <t>ROOFER- </t>
  </si>
  <si>
    <t xml:space="preserve">SURVEYOR </t>
  </si>
  <si>
    <t>    </t>
  </si>
  <si>
    <t>Tile Setter/Terrazzo Worker/Marble Mason Finisher</t>
  </si>
  <si>
    <r>
      <t xml:space="preserve">LABORER - </t>
    </r>
    <r>
      <rPr>
        <sz val="10"/>
        <rFont val="Arial"/>
      </rPr>
      <t>   </t>
    </r>
  </si>
  <si>
    <t>Foreman $1.00 above highest Journeyman</t>
  </si>
  <si>
    <t>Glazier Journeyman</t>
  </si>
  <si>
    <t>Plasterer - Journeyman</t>
  </si>
  <si>
    <t>Plasterer - Foreman</t>
  </si>
  <si>
    <t>Sprinkler Fitter</t>
  </si>
  <si>
    <t>Electrician Wireman</t>
  </si>
  <si>
    <r>
      <t>FENCE ERECTOR</t>
    </r>
    <r>
      <rPr>
        <sz val="10"/>
        <rFont val="Arial"/>
      </rPr>
      <t> </t>
    </r>
  </si>
  <si>
    <t>ADD ZONE RATE </t>
  </si>
  <si>
    <t>ADD SHEET METAL ZONE RATE </t>
  </si>
  <si>
    <t>ADD OP. ENG. ZONE RATE </t>
  </si>
  <si>
    <t>Average</t>
  </si>
  <si>
    <t>Clark</t>
  </si>
  <si>
    <t>Union Y/N</t>
  </si>
  <si>
    <t>Y</t>
  </si>
  <si>
    <t>N</t>
  </si>
  <si>
    <t>Total</t>
  </si>
  <si>
    <t>Union</t>
  </si>
  <si>
    <t>Non-Union</t>
  </si>
  <si>
    <t>Union Breakdown</t>
  </si>
  <si>
    <r>
      <t xml:space="preserve">CLARK
</t>
    </r>
    <r>
      <rPr>
        <i/>
        <sz val="10"/>
        <color indexed="12"/>
        <rFont val="Arial"/>
        <family val="2"/>
      </rPr>
      <t>Average Construction Wage $25.12</t>
    </r>
  </si>
  <si>
    <r>
      <t xml:space="preserve">DOUGLAS
</t>
    </r>
    <r>
      <rPr>
        <i/>
        <sz val="10"/>
        <color indexed="12"/>
        <rFont val="Arial"/>
        <family val="2"/>
      </rPr>
      <t>Average Construction Wage $20.78</t>
    </r>
  </si>
  <si>
    <r>
      <t xml:space="preserve">ELKO
</t>
    </r>
    <r>
      <rPr>
        <i/>
        <sz val="10"/>
        <color indexed="12"/>
        <rFont val="Arial"/>
        <family val="2"/>
      </rPr>
      <t>Average Construction Wage $20.46</t>
    </r>
  </si>
  <si>
    <r>
      <t xml:space="preserve">CARSON CITY
</t>
    </r>
    <r>
      <rPr>
        <i/>
        <sz val="10"/>
        <color indexed="12"/>
        <rFont val="Arial"/>
        <family val="2"/>
      </rPr>
      <t>Average Construction Wage $24.30</t>
    </r>
  </si>
  <si>
    <r>
      <t xml:space="preserve">CHURCHILL
</t>
    </r>
    <r>
      <rPr>
        <i/>
        <sz val="10"/>
        <color indexed="12"/>
        <rFont val="Arial"/>
        <family val="2"/>
      </rPr>
      <t>Average Construction Wage $21.44</t>
    </r>
  </si>
  <si>
    <t>Not Surveyed Set Union</t>
  </si>
  <si>
    <t>Mineral</t>
  </si>
  <si>
    <t>White Pine</t>
  </si>
  <si>
    <t>Douglas</t>
  </si>
  <si>
    <t>Churchill (8 hrs)</t>
  </si>
  <si>
    <r>
      <t xml:space="preserve">EUREKA
</t>
    </r>
    <r>
      <rPr>
        <i/>
        <sz val="10"/>
        <color indexed="12"/>
        <rFont val="Arial"/>
        <family val="2"/>
      </rPr>
      <t>No Data for Construction DETR</t>
    </r>
  </si>
  <si>
    <r>
      <t xml:space="preserve">HUMBOLDT
</t>
    </r>
    <r>
      <rPr>
        <i/>
        <sz val="10"/>
        <color indexed="12"/>
        <rFont val="Arial"/>
        <family val="2"/>
      </rPr>
      <t>Average Construction Wage $21.92</t>
    </r>
  </si>
  <si>
    <t>Humblodt</t>
  </si>
  <si>
    <r>
      <t xml:space="preserve">LANDER
</t>
    </r>
    <r>
      <rPr>
        <i/>
        <sz val="10"/>
        <color indexed="12"/>
        <rFont val="Arial"/>
        <family val="2"/>
      </rPr>
      <t>Average Construction Wage $21.42</t>
    </r>
  </si>
  <si>
    <t>White Pine (9 hrs)</t>
  </si>
  <si>
    <r>
      <t xml:space="preserve">LINCOLN
</t>
    </r>
    <r>
      <rPr>
        <i/>
        <sz val="10"/>
        <color indexed="12"/>
        <rFont val="Arial"/>
        <family val="2"/>
      </rPr>
      <t>Average Construction Wage $25.99</t>
    </r>
  </si>
  <si>
    <r>
      <t xml:space="preserve">LYON
</t>
    </r>
    <r>
      <rPr>
        <i/>
        <sz val="10"/>
        <color indexed="12"/>
        <rFont val="Arial"/>
        <family val="2"/>
      </rPr>
      <t>Average Construction Wage $19.91</t>
    </r>
  </si>
  <si>
    <t>Storey</t>
  </si>
  <si>
    <r>
      <t xml:space="preserve">MINERAL
</t>
    </r>
    <r>
      <rPr>
        <i/>
        <sz val="10"/>
        <color indexed="12"/>
        <rFont val="Arial"/>
        <family val="2"/>
      </rPr>
      <t>Average Construction Wage $19.03</t>
    </r>
  </si>
  <si>
    <r>
      <t xml:space="preserve">NYE
</t>
    </r>
    <r>
      <rPr>
        <i/>
        <sz val="10"/>
        <color indexed="12"/>
        <rFont val="Arial"/>
        <family val="2"/>
      </rPr>
      <t>Average Construction Wage $21.90</t>
    </r>
  </si>
  <si>
    <r>
      <t xml:space="preserve">PERSHING
</t>
    </r>
    <r>
      <rPr>
        <i/>
        <sz val="10"/>
        <color indexed="12"/>
        <rFont val="Arial"/>
        <family val="2"/>
      </rPr>
      <t>Average Construction Wage $28.71</t>
    </r>
  </si>
  <si>
    <r>
      <t xml:space="preserve">WASHOE
</t>
    </r>
    <r>
      <rPr>
        <i/>
        <sz val="10"/>
        <color indexed="12"/>
        <rFont val="Arial"/>
        <family val="2"/>
      </rPr>
      <t>Average Construction Wage $22.58</t>
    </r>
  </si>
  <si>
    <t>Not Surveyed Set By Union</t>
  </si>
  <si>
    <r>
      <t xml:space="preserve">WHITE PINE
</t>
    </r>
    <r>
      <rPr>
        <i/>
        <sz val="10"/>
        <color indexed="12"/>
        <rFont val="Arial"/>
        <family val="2"/>
      </rPr>
      <t>Average Construction Wage $20.95</t>
    </r>
  </si>
  <si>
    <t>Not Surveyed Set by Union</t>
  </si>
  <si>
    <t>North</t>
  </si>
  <si>
    <t>South</t>
  </si>
  <si>
    <t>Sheet Metal 26</t>
  </si>
  <si>
    <t>ELECTRICIAN COMMUNICATION TECHNICIAN</t>
  </si>
  <si>
    <t>ELECTRICIAN LINEMAN/GROUNDMAN/OPERATOR</t>
  </si>
  <si>
    <t>ELECTRICIAN NEON SIGN</t>
  </si>
  <si>
    <t>ELECTRICIAN WIREMAN</t>
  </si>
  <si>
    <t>HOD CARRIER BRICK MASON TENDER</t>
  </si>
  <si>
    <t>HOD CARRIER PLASTERER TENDER</t>
  </si>
  <si>
    <t>IRONWORKER</t>
  </si>
  <si>
    <t>PILEDRIVER (NON-EQUIPMENT)</t>
  </si>
  <si>
    <t>REFRIGERATION MECHANIC</t>
  </si>
  <si>
    <t>ROOFER (DOES NOT INCLUDE SHEET METAL ROOFS)</t>
  </si>
  <si>
    <t>SURVEY TECHNICIAN</t>
  </si>
  <si>
    <t>TILE/TERRAZZO WORKER/MARBLE MASON</t>
  </si>
  <si>
    <t>TILE/TERRAZZO WORKER/MARBLE MASON FINISHER</t>
  </si>
  <si>
    <t xml:space="preserve">EQUIPMENT GREASER </t>
  </si>
  <si>
    <t>% Benefits</t>
  </si>
  <si>
    <t>IBEW 401</t>
  </si>
  <si>
    <r>
      <t xml:space="preserve">ESMERALDA
</t>
    </r>
    <r>
      <rPr>
        <i/>
        <sz val="10"/>
        <color indexed="12"/>
        <rFont val="Arial"/>
        <family val="2"/>
      </rPr>
      <t>No Data For Construction DETR</t>
    </r>
  </si>
  <si>
    <r>
      <t xml:space="preserve">STOREY
</t>
    </r>
    <r>
      <rPr>
        <i/>
        <sz val="10"/>
        <color indexed="12"/>
        <rFont val="Arial"/>
        <family val="2"/>
      </rPr>
      <t>No Data for Construction DETR</t>
    </r>
  </si>
  <si>
    <t>Carson</t>
  </si>
  <si>
    <t>Lincoln</t>
  </si>
  <si>
    <t>CL-2009-1</t>
  </si>
  <si>
    <t>SNWA</t>
  </si>
  <si>
    <t xml:space="preserve">Wiser Construction LLC </t>
  </si>
  <si>
    <t xml:space="preserve">340A 04 C1 Coyote Spring Valley Well &amp; Moapa Transmission System - Arsenic </t>
  </si>
  <si>
    <t>CL-2009-2</t>
  </si>
  <si>
    <t>CWC</t>
  </si>
  <si>
    <t xml:space="preserve">CWC-300 System Conveyance &amp; Operations Program (SCOP)-"Reach 3 Pipeline" </t>
  </si>
  <si>
    <t>CL-2009-3</t>
  </si>
  <si>
    <t xml:space="preserve">CWC-700 System Conveyance &amp; Operations Program (SCOP)-Reach 4 Tunnel </t>
  </si>
  <si>
    <t>CL-2009-4</t>
  </si>
  <si>
    <t>NEW # CL-2011-2</t>
  </si>
  <si>
    <t>CWC-900 System Conveyance &amp; Operations Program (SCOP)-Reach 5 Pipeline</t>
  </si>
  <si>
    <t xml:space="preserve">Canceled </t>
  </si>
  <si>
    <t>CL-2009-5</t>
  </si>
  <si>
    <t>New # CL-2010-2</t>
  </si>
  <si>
    <t>CWC-1000 System Conveyance &amp; Operations Program (SCOP)-Boulkder Island Outfall Diffuser</t>
  </si>
  <si>
    <t>CL-2009-6</t>
  </si>
  <si>
    <t xml:space="preserve">CWC-600 System conveyance &amp; Operations Program (SCOP)-City of Henderson Pumping </t>
  </si>
  <si>
    <t>CL-2009-7</t>
  </si>
  <si>
    <t>CCWRD</t>
  </si>
  <si>
    <t xml:space="preserve">TS-0621 Corrosim Management Plan </t>
  </si>
  <si>
    <t>CL-2009-8</t>
  </si>
  <si>
    <t>Canceled Duplicate LI-2008-68</t>
  </si>
  <si>
    <t xml:space="preserve">340A 03 C1 Coyote Spring Valley  Well and Transmission System Production Wells </t>
  </si>
  <si>
    <t>CL-2009-9</t>
  </si>
  <si>
    <t>CCSD</t>
  </si>
  <si>
    <t xml:space="preserve">Ryan Mechanical </t>
  </si>
  <si>
    <t xml:space="preserve">0011881 School Modernization Whitney ES </t>
  </si>
  <si>
    <t>CL-2009-10</t>
  </si>
  <si>
    <t>LVVWD</t>
  </si>
  <si>
    <t xml:space="preserve">C1260 Angel Park Disinfection System Addition </t>
  </si>
  <si>
    <t>CL-2009-11</t>
  </si>
  <si>
    <t>COH</t>
  </si>
  <si>
    <t xml:space="preserve">VT Construction </t>
  </si>
  <si>
    <t xml:space="preserve">2008-86-0007 Galleria Drive Half Street Improvements From Moiser to Pabco </t>
  </si>
  <si>
    <t>CL-2009-12</t>
  </si>
  <si>
    <t>CANCELED NEW PWP 2010-99</t>
  </si>
  <si>
    <t xml:space="preserve">2008-86-0017 Pittman Wash Sewer Assessment Pilot Project </t>
  </si>
  <si>
    <t>CL-2009-13</t>
  </si>
  <si>
    <t>CL-2009-14</t>
  </si>
  <si>
    <t xml:space="preserve">Merell Bros Inc </t>
  </si>
  <si>
    <t xml:space="preserve">wwtp No 3 Decommissioning 2nd demolition Project Phase I </t>
  </si>
  <si>
    <t>Completed</t>
  </si>
  <si>
    <t>CL-2009-15</t>
  </si>
  <si>
    <t xml:space="preserve">JNJ Engineering Construction, Inc. </t>
  </si>
  <si>
    <t xml:space="preserve">Flow Meter Replacement and Miscellaneas Improvements at COH Water Treatment Plant </t>
  </si>
  <si>
    <t>CL-2009-16</t>
  </si>
  <si>
    <t xml:space="preserve">Trade West Construction </t>
  </si>
  <si>
    <t xml:space="preserve">2008-86-0019 Armillaria Sewer Lift Station Flood Protection Prject </t>
  </si>
  <si>
    <t>CL-2009-17</t>
  </si>
  <si>
    <t xml:space="preserve">810M 01 C1 Lower Narrows and Homestead Weirs </t>
  </si>
  <si>
    <t>CL-2009-18</t>
  </si>
  <si>
    <t>CCMA</t>
  </si>
  <si>
    <t xml:space="preserve">Commercial Roofers Inc. </t>
  </si>
  <si>
    <t xml:space="preserve">2262-1 MIA Roof Replacement - "C" Gates </t>
  </si>
  <si>
    <t>CL-2009-19</t>
  </si>
  <si>
    <t xml:space="preserve">Insituform Technologies, Inc. </t>
  </si>
  <si>
    <t xml:space="preserve">TS-634 E Flamingo Rehabilitation Las Vegas Valley East of I-15 Freeway </t>
  </si>
  <si>
    <t>CL-2009-20</t>
  </si>
  <si>
    <t xml:space="preserve">Las Vegas Paving Corporation </t>
  </si>
  <si>
    <t xml:space="preserve">Ts-0633 Sloan Interceptor Rehabilitation Sloan Lane Between E Washington Ave. and Vegas </t>
  </si>
  <si>
    <t>CL-2009-21</t>
  </si>
  <si>
    <t>TS-0620 Crosstown Interceptor Rehabilitation Project Phase 2</t>
  </si>
  <si>
    <t>CL-2009-22</t>
  </si>
  <si>
    <t>Canceled New PWP 2010-3</t>
  </si>
  <si>
    <t xml:space="preserve">070F 04 C1 Lake Mead Intake No. 3 - Discharge Pipeline Alfred Merritt Smith Water </t>
  </si>
  <si>
    <t>CL-2009-23</t>
  </si>
  <si>
    <t xml:space="preserve">                            </t>
  </si>
  <si>
    <t>CWC-400 System Conveyeance &amp; Operations Program (SCOP)-"Reach 3 Tunnel"</t>
  </si>
  <si>
    <t>CL-2009-24</t>
  </si>
  <si>
    <t xml:space="preserve">C1232 Centennial 2635 Zone Reservoir and 2745 Zone Pumping Station </t>
  </si>
  <si>
    <t>CL-2009-25</t>
  </si>
  <si>
    <t xml:space="preserve">U.S. Mechanical, LLC </t>
  </si>
  <si>
    <t xml:space="preserve">0011350 Cooling Tower Replacement Theron Swainston Middle School </t>
  </si>
  <si>
    <t>10/10/0/8</t>
  </si>
  <si>
    <t>CL-2009-26</t>
  </si>
  <si>
    <t xml:space="preserve">131-08-MF-042-604 Convention Center Remodel &amp; Addition 203 Water St </t>
  </si>
  <si>
    <t>CL-2009-27</t>
  </si>
  <si>
    <t xml:space="preserve">CWC-100 SCOP-Reach 1 Pipeline </t>
  </si>
  <si>
    <t>CL-2009-28</t>
  </si>
  <si>
    <t xml:space="preserve">CWC-200 System Conveyance &amp; Operations Program (Scop) Reach 2 </t>
  </si>
  <si>
    <t>CL-2009-29</t>
  </si>
  <si>
    <t xml:space="preserve"> </t>
  </si>
  <si>
    <t xml:space="preserve">CWC-500 System Conveyance &amp; Operations Program </t>
  </si>
  <si>
    <t>CL-2009-30</t>
  </si>
  <si>
    <t xml:space="preserve">R.P. Wedell &amp; Sons Company </t>
  </si>
  <si>
    <t xml:space="preserve">C1249 Miscellaneous Valts Reconstruction and Repair Phase XIV </t>
  </si>
  <si>
    <t>CL-2009-31</t>
  </si>
  <si>
    <t xml:space="preserve">Contri Construction Company </t>
  </si>
  <si>
    <t xml:space="preserve">C1217 Cactus 2538 Zone Reservoir Inlet/Outlet Pipeline and 2635 Zone Pumping Station </t>
  </si>
  <si>
    <t>CL-2009-32</t>
  </si>
  <si>
    <t>CLV</t>
  </si>
  <si>
    <t xml:space="preserve">Diamond Construction Company, Inc. </t>
  </si>
  <si>
    <t xml:space="preserve">09.1730.11-DC Rampart Trail Phase I, II and Angel Park Trailhead </t>
  </si>
  <si>
    <t xml:space="preserve">    </t>
  </si>
  <si>
    <t>CL-2009-33</t>
  </si>
  <si>
    <t>CNLV</t>
  </si>
  <si>
    <t xml:space="preserve">Southwest Iron Works LLC </t>
  </si>
  <si>
    <t>1318 ADA Accessibility &amp; DOJ Compliance FY 08/09</t>
  </si>
  <si>
    <t>CL-2009-34</t>
  </si>
  <si>
    <t>UNLV</t>
  </si>
  <si>
    <t>Western Single Ply</t>
  </si>
  <si>
    <t xml:space="preserve">5040-KC White Life Sciences Reroof </t>
  </si>
  <si>
    <t>CL-2009-35</t>
  </si>
  <si>
    <t xml:space="preserve">American Asphalt and Grading Company </t>
  </si>
  <si>
    <t xml:space="preserve">131-09-FC-054-001 Railroad Channel Maintenance Ramps </t>
  </si>
  <si>
    <t>CL-2009-36</t>
  </si>
  <si>
    <t>NEW PWP #2010-248</t>
  </si>
  <si>
    <t>TS-0586 AWT Membrane and Ozonation Phase 1</t>
  </si>
  <si>
    <t>CL-2009-37</t>
  </si>
  <si>
    <t>RTC</t>
  </si>
  <si>
    <t xml:space="preserve">St George Contracting Inc </t>
  </si>
  <si>
    <t xml:space="preserve">005-09 RTC Vault Building Tenant Improvements </t>
  </si>
  <si>
    <t>CL-2009-38</t>
  </si>
  <si>
    <t xml:space="preserve">1 Development Construction </t>
  </si>
  <si>
    <t xml:space="preserve">08.15341.10-LED Centennial Hills Added Improvements-Added Pool Shade </t>
  </si>
  <si>
    <t>CL-2009-39</t>
  </si>
  <si>
    <t>Harber Company, Inc.</t>
  </si>
  <si>
    <t xml:space="preserve">Wigwam/US 95 24-inch 2120 PZ Main and PRV </t>
  </si>
  <si>
    <t>CL-2009-40</t>
  </si>
  <si>
    <t xml:space="preserve">601264 Sunset Park Area D Well Reconstruction </t>
  </si>
  <si>
    <t>CL-2009-41</t>
  </si>
  <si>
    <t xml:space="preserve">Jaynes Corporation </t>
  </si>
  <si>
    <t xml:space="preserve">Family Courts Building Remodel </t>
  </si>
  <si>
    <t xml:space="preserve">CC did not Request Bid # they started using it Double PWP </t>
  </si>
  <si>
    <t xml:space="preserve">CL-2009-41 </t>
  </si>
  <si>
    <t xml:space="preserve">Maximum Enterprises LLC </t>
  </si>
  <si>
    <t xml:space="preserve">601265 Building HVA/C-R Maintenance Repairs </t>
  </si>
  <si>
    <t>CL-2009-42</t>
  </si>
  <si>
    <t xml:space="preserve">Whiting-Turner Contracting Company </t>
  </si>
  <si>
    <t xml:space="preserve">Part 1 - RSFOQ#006-09 / Part II - RFFP - Unknown at this time Construction Management @ Risk </t>
  </si>
  <si>
    <t>CL-2009-43</t>
  </si>
  <si>
    <t xml:space="preserve">TS-0632 West Twain Interceptor Rehabilitation </t>
  </si>
  <si>
    <t>CL-2009-44</t>
  </si>
  <si>
    <t xml:space="preserve">Martin Harris Construction </t>
  </si>
  <si>
    <t xml:space="preserve">5042-KC Concrete Replacement at HFA, CHE, &amp; BSL-West </t>
  </si>
  <si>
    <t xml:space="preserve">   </t>
  </si>
  <si>
    <t>CL-2009-45</t>
  </si>
  <si>
    <t xml:space="preserve">NC </t>
  </si>
  <si>
    <t xml:space="preserve">Parsons Drilling Inc </t>
  </si>
  <si>
    <t xml:space="preserve">2008-31 Gabbs Well Drilling </t>
  </si>
  <si>
    <t>LI-2009-46</t>
  </si>
  <si>
    <t>LCPD</t>
  </si>
  <si>
    <t xml:space="preserve">Pearson Brothers Construction Inc </t>
  </si>
  <si>
    <t xml:space="preserve">LCPD0803 Headquarters Complex </t>
  </si>
  <si>
    <t>CL-2009-47</t>
  </si>
  <si>
    <t xml:space="preserve">Lloyd's Refrigeration, Inc. </t>
  </si>
  <si>
    <t xml:space="preserve">5041-KC FDH Building Retrofit Air Handlers </t>
  </si>
  <si>
    <t>CL-2009-48</t>
  </si>
  <si>
    <t>SPWB</t>
  </si>
  <si>
    <t xml:space="preserve">Tand, Inc </t>
  </si>
  <si>
    <t xml:space="preserve">09-A003 DETR Landscape </t>
  </si>
  <si>
    <t>LI-2009-49</t>
  </si>
  <si>
    <t>LC</t>
  </si>
  <si>
    <t xml:space="preserve">TOH89 Thompson Opera House </t>
  </si>
  <si>
    <t>LI-2009-50</t>
  </si>
  <si>
    <t xml:space="preserve">Mills Construction </t>
  </si>
  <si>
    <t xml:space="preserve">0003-40-01 Pioche Sewer Improvements </t>
  </si>
  <si>
    <t>Las Vegas Wash Middle Branch Storm Drain Improvements Decatur Blvd. To Elkhorn Rd</t>
  </si>
  <si>
    <t>CL-2010-335</t>
  </si>
  <si>
    <t xml:space="preserve">                                                                                                                                                                                          </t>
  </si>
  <si>
    <t>CL-2009-51</t>
  </si>
  <si>
    <t xml:space="preserve">Southern Nevada Paving, Inc. </t>
  </si>
  <si>
    <t xml:space="preserve">B601231-08 Street Improvements on Valley View Blvd Between Flamingo Road to Desert </t>
  </si>
  <si>
    <t>CL-2009-52</t>
  </si>
  <si>
    <t xml:space="preserve">B601233-08 Sunrise Avenue Storm Drain </t>
  </si>
  <si>
    <t>CL-2009-53</t>
  </si>
  <si>
    <t xml:space="preserve">Mejia Contracting Co, Inc </t>
  </si>
  <si>
    <t xml:space="preserve">601254 Fire Station No 18 Workout Room Expansion </t>
  </si>
  <si>
    <t>CL-2009-54</t>
  </si>
  <si>
    <t>Canceled New PWP 2010-44</t>
  </si>
  <si>
    <t xml:space="preserve">2006-86-0017 RMLT 13 &amp; 14 &amp; Equestrian Park Trailhead Project </t>
  </si>
  <si>
    <t>CL-2009-55</t>
  </si>
  <si>
    <t xml:space="preserve">Communication Electronic Systems </t>
  </si>
  <si>
    <t xml:space="preserve">0012003 Fire Alarm Replacement @ Cimarron-Memorial High School </t>
  </si>
  <si>
    <t>CL-2009-57</t>
  </si>
  <si>
    <t xml:space="preserve">J &amp; J Enterprises, Inc. </t>
  </si>
  <si>
    <t xml:space="preserve">131-08-PR-183-001 Burkholder Ballfield Netting </t>
  </si>
  <si>
    <t>NY-2009-58</t>
  </si>
  <si>
    <t>NC</t>
  </si>
  <si>
    <t xml:space="preserve">2008-32 Calvada Building Demolition </t>
  </si>
  <si>
    <t>CL-2009-59</t>
  </si>
  <si>
    <t xml:space="preserve">2303 Control Center Relocation </t>
  </si>
  <si>
    <t>CL-2009-60</t>
  </si>
  <si>
    <t xml:space="preserve">0011347 Central Plant Modernization </t>
  </si>
  <si>
    <t>CL-2009-61</t>
  </si>
  <si>
    <t xml:space="preserve">0011340 Central Plant Modernization </t>
  </si>
  <si>
    <t>CL-2009-62</t>
  </si>
  <si>
    <t>CG&amp;B Enterprises, Inc</t>
  </si>
  <si>
    <t xml:space="preserve">131-08-PR-151-001 Whitney Mesa Nature Preserve </t>
  </si>
  <si>
    <t>CL-2009-63</t>
  </si>
  <si>
    <t>Eagle View Contractors</t>
  </si>
  <si>
    <t xml:space="preserve">131-08-FC-042-005 Pittman MacDonald Ranch Channel </t>
  </si>
  <si>
    <t>CL-2009-64</t>
  </si>
  <si>
    <t>CSN</t>
  </si>
  <si>
    <t xml:space="preserve">Core Construction Services of Nevada </t>
  </si>
  <si>
    <t xml:space="preserve">CSN Health Sciences Building Addition West Charleston </t>
  </si>
  <si>
    <t>CL-2009-65</t>
  </si>
  <si>
    <t>CL-2009-66</t>
  </si>
  <si>
    <t xml:space="preserve">0011582 Site Work Facilities / Audit </t>
  </si>
  <si>
    <t>CL-2009-67</t>
  </si>
  <si>
    <t>Western State Contracting, Inc.</t>
  </si>
  <si>
    <t>Upper Las Vegas Wash Trail Phase I</t>
  </si>
  <si>
    <t>CL-2009-68</t>
  </si>
  <si>
    <t>Canceled Awarded under 100,000</t>
  </si>
  <si>
    <t xml:space="preserve">0011955 Electrical Service for Portables </t>
  </si>
  <si>
    <t>CL-2009-69</t>
  </si>
  <si>
    <t xml:space="preserve">Pahor Mechanical Contractors, LLC </t>
  </si>
  <si>
    <t xml:space="preserve">0011341 Central Plant Modernization Cheyenne High School </t>
  </si>
  <si>
    <t>CL-2009-70</t>
  </si>
  <si>
    <t xml:space="preserve">JBM Construction  Inc </t>
  </si>
  <si>
    <t xml:space="preserve">2315-2 Henderson Executive Airport Electrical Plan - Phase 2 </t>
  </si>
  <si>
    <t>CL-2009-71</t>
  </si>
  <si>
    <t>0000558 Underground Fire Line and Nevada Power Upgrade @ Valley HS</t>
  </si>
  <si>
    <t>NY-2009-72</t>
  </si>
  <si>
    <t xml:space="preserve">LaHaye Electrical, Inc </t>
  </si>
  <si>
    <t xml:space="preserve">2008-33 Beatty Street Light Installation </t>
  </si>
  <si>
    <t>CL-2009-73</t>
  </si>
  <si>
    <t xml:space="preserve">Williams Brother Inc </t>
  </si>
  <si>
    <t xml:space="preserve">601297-08 Street Light Modernization </t>
  </si>
  <si>
    <t>CL-2009-74</t>
  </si>
  <si>
    <t>Canceled New PWP 2010-78</t>
  </si>
  <si>
    <t xml:space="preserve">601291-08 Hotel Rio Drive Bridge Repair </t>
  </si>
  <si>
    <t>CL-2009-75</t>
  </si>
  <si>
    <t xml:space="preserve">K Construction Inc </t>
  </si>
  <si>
    <t>M0155 Miscellaneous Backflow Installations 2008-2009 Phase XII</t>
  </si>
  <si>
    <t>CL-2009-76</t>
  </si>
  <si>
    <t>LVCCLD</t>
  </si>
  <si>
    <t>Palmmetto Construction Inc.</t>
  </si>
  <si>
    <t xml:space="preserve">09-08 Summerlin Library Efficiency Remodel </t>
  </si>
  <si>
    <t>01/21/009</t>
  </si>
  <si>
    <t>CL-2009-77</t>
  </si>
  <si>
    <t xml:space="preserve">09-09 Sunrise Library Efficiency Remodel </t>
  </si>
  <si>
    <t>CL-2009-78</t>
  </si>
  <si>
    <t xml:space="preserve">0011612 Water Service </t>
  </si>
  <si>
    <t>CL-2009-79</t>
  </si>
  <si>
    <t>CCDA</t>
  </si>
  <si>
    <t xml:space="preserve">APEC Consultants Inc </t>
  </si>
  <si>
    <t xml:space="preserve">2359 MIA Laundry Remodel </t>
  </si>
  <si>
    <t>CL-2009-80</t>
  </si>
  <si>
    <t xml:space="preserve">08.53541.06-LED Water Pollution Control Facililty </t>
  </si>
  <si>
    <t>CL-2009-81</t>
  </si>
  <si>
    <t xml:space="preserve">Paso Robles Tank, Inc </t>
  </si>
  <si>
    <t>2008-86-0012 Reservior Rehabilitation Improvements Project</t>
  </si>
  <si>
    <t>CL-2009-82</t>
  </si>
  <si>
    <t>UMC</t>
  </si>
  <si>
    <t xml:space="preserve">2008-12 Operating Room Humidifier Replacement </t>
  </si>
  <si>
    <t>CL-2009-83</t>
  </si>
  <si>
    <t xml:space="preserve">601259 Wetlands Park Nature Center </t>
  </si>
  <si>
    <t>CL-2009-84</t>
  </si>
  <si>
    <t>456-PM Design Build of a New Pool to Replace Existing Pool at the McDermott Physical Edu</t>
  </si>
  <si>
    <t>CL-2009-85</t>
  </si>
  <si>
    <t>Big Town Mechanical</t>
  </si>
  <si>
    <t>0000484 Plumbing Modernization Rowe ES</t>
  </si>
  <si>
    <t>CL-2009-86</t>
  </si>
  <si>
    <t xml:space="preserve">0011765 Fire Hydrant Installation Gragson Elementary School </t>
  </si>
  <si>
    <t>CL-2009-87</t>
  </si>
  <si>
    <t xml:space="preserve">Subruban Elevator of Nevada </t>
  </si>
  <si>
    <t xml:space="preserve">4477 Furnish and Install Elevator at Shadow Lane Medical Research </t>
  </si>
  <si>
    <t>CL-2009-88</t>
  </si>
  <si>
    <t xml:space="preserve">0010993 Emergency Lighting/Intrusion Alarm Interface; Intercom, ALS PA Upgrades </t>
  </si>
  <si>
    <t>CL-2009-89</t>
  </si>
  <si>
    <t xml:space="preserve">08.53541.05-LED Durango Hills Water Resource Center </t>
  </si>
  <si>
    <t>CL-2009-90</t>
  </si>
  <si>
    <t xml:space="preserve">C.I. Contractors, Inc. </t>
  </si>
  <si>
    <t xml:space="preserve">1548-04 Wallace Transportation - Bus Wash/Water Reclaim System Corrections </t>
  </si>
  <si>
    <t>CL-2009-91</t>
  </si>
  <si>
    <t>601096-08 Range Wash Channel Reconstruction on Nellis Air Force Base - Phase 4</t>
  </si>
  <si>
    <t>CL-2009-92</t>
  </si>
  <si>
    <t>Central Cooling Plant Connector to Satellite Plant for GHS, WHI and TBE Buildings</t>
  </si>
  <si>
    <t>CL-2009-93</t>
  </si>
  <si>
    <t xml:space="preserve">B601309-08 Northern Clark County 215 Bruce Woodbury Beltway, Tenaya Way to Decatur </t>
  </si>
  <si>
    <t>CL-2009-94</t>
  </si>
  <si>
    <t xml:space="preserve">Hardy Construction Inc </t>
  </si>
  <si>
    <t xml:space="preserve">0011998 Rehab Existing Building 4220 McLeod Drive </t>
  </si>
  <si>
    <t>CL-2009-95</t>
  </si>
  <si>
    <t xml:space="preserve">0002501 Intrusion Alarm PA ALS Exterior Lighting J D Smith Middle School </t>
  </si>
  <si>
    <t>CL-2009-96</t>
  </si>
  <si>
    <t>Canceled</t>
  </si>
  <si>
    <t xml:space="preserve">2008-35 tonopah Fitness Center Remodel </t>
  </si>
  <si>
    <t>CL-2009-97</t>
  </si>
  <si>
    <t xml:space="preserve">Tab Contractors Inc </t>
  </si>
  <si>
    <t xml:space="preserve">09.1730.02-LED Las Vegas Wash Middle Branch Storm Drain </t>
  </si>
  <si>
    <t>CL-2009-98</t>
  </si>
  <si>
    <t xml:space="preserve">E &amp; M Enterprises, Inc. </t>
  </si>
  <si>
    <t>601319 Clark County Museum Candlelight Wedding Chapel - Phase I</t>
  </si>
  <si>
    <t>CL-2009-99</t>
  </si>
  <si>
    <t xml:space="preserve">070F 02 C1 Lake Mead Intake No. 3 - Pumping Station Underground </t>
  </si>
  <si>
    <t>CL-2009-100</t>
  </si>
  <si>
    <t xml:space="preserve">El Camino Construction Company </t>
  </si>
  <si>
    <t xml:space="preserve">07-M37 Erosion Remediation High Desert State Prison </t>
  </si>
  <si>
    <t xml:space="preserve">CL-2009-101 </t>
  </si>
  <si>
    <t xml:space="preserve">McCarthy Building Companies, Inc. </t>
  </si>
  <si>
    <t xml:space="preserve">09107 Fire Station / college Instructional Center </t>
  </si>
  <si>
    <t>CL-2009-102</t>
  </si>
  <si>
    <t xml:space="preserve">Capriati Construction Corp </t>
  </si>
  <si>
    <t>09.1730.07-LED Horse Drive / U.S. 95 Interchange Intersection of Horse Drive and U.S. 95</t>
  </si>
  <si>
    <t>CL-2009-103</t>
  </si>
  <si>
    <t xml:space="preserve">C1269 Kyle Canyon System Improvements - Old Town and Upper Rainbow </t>
  </si>
  <si>
    <t>CL-2009-104</t>
  </si>
  <si>
    <t xml:space="preserve">C1279 Hard Rock Pressure Zone Conversion </t>
  </si>
  <si>
    <t>CL-2009-105</t>
  </si>
  <si>
    <t xml:space="preserve">1321 Desert Horizons Park - Offsite Improvements </t>
  </si>
  <si>
    <t>CL-2009-106</t>
  </si>
  <si>
    <t>CBC</t>
  </si>
  <si>
    <t xml:space="preserve">08-0734-PD Police Department Remodel </t>
  </si>
  <si>
    <t>CL-2009-107</t>
  </si>
  <si>
    <t xml:space="preserve">1305 Losee Road Improvements Phase I </t>
  </si>
  <si>
    <t>CL-2009-108</t>
  </si>
  <si>
    <t xml:space="preserve">Westpoint Development Group Inc </t>
  </si>
  <si>
    <t xml:space="preserve">601328 Clark County Fairgrounds Rodeo Arena Bleachers Modular Office and Site </t>
  </si>
  <si>
    <t>CL-2009-109</t>
  </si>
  <si>
    <t xml:space="preserve">601329 Clark County Fairgrounds Horse Stalls Reconfiguration </t>
  </si>
  <si>
    <t>CL-2009-110</t>
  </si>
  <si>
    <t xml:space="preserve">Burke &amp; Associates, Inc. </t>
  </si>
  <si>
    <t xml:space="preserve">07-C07A Southern Desert Correctional Center Expansion </t>
  </si>
  <si>
    <t>CL-2009-111</t>
  </si>
  <si>
    <t xml:space="preserve">Richardson Construction Inc </t>
  </si>
  <si>
    <t xml:space="preserve">601207 Sunset Regional Park Phase 1 Improvements </t>
  </si>
  <si>
    <t>CL-2009-112</t>
  </si>
  <si>
    <t xml:space="preserve">2318 MSE Wall, Taxi and Helix Bridges Expansion Joint Rehabilitation </t>
  </si>
  <si>
    <t>NY-2009-113</t>
  </si>
  <si>
    <t xml:space="preserve">Welsco Corporation </t>
  </si>
  <si>
    <t xml:space="preserve">2008-04 Pipe Springs Well Drilling </t>
  </si>
  <si>
    <t>CL-2009-114F</t>
  </si>
  <si>
    <t xml:space="preserve">Fremont Construction Company, Inc </t>
  </si>
  <si>
    <t xml:space="preserve">601335 Multiple County Facility Improvements Shade Structures </t>
  </si>
  <si>
    <t>CL-2009-115</t>
  </si>
  <si>
    <t xml:space="preserve">2240 Landscape Renovations at McCarran International Airport and Seigfried and Roy Park </t>
  </si>
  <si>
    <t>CL-2009-116</t>
  </si>
  <si>
    <t xml:space="preserve">Oakview Construction </t>
  </si>
  <si>
    <t xml:space="preserve">Parking Revenue Control System Infrastructure at the Gold Garage and Terminal 2 Parking Lot </t>
  </si>
  <si>
    <t>CL-2009-117</t>
  </si>
  <si>
    <t xml:space="preserve">Brimont Construction Inc </t>
  </si>
  <si>
    <t>Desert Regional Center, Building 1300 Accessibility Upgrades</t>
  </si>
  <si>
    <t>CL-2009-118</t>
  </si>
  <si>
    <t xml:space="preserve">Valleycrest Landscape Development Inc </t>
  </si>
  <si>
    <t>Russell Road CMU Walls</t>
  </si>
  <si>
    <t>LI-2009-119</t>
  </si>
  <si>
    <t>Canceled NO new PWP</t>
  </si>
  <si>
    <t xml:space="preserve">090G 25 C3 Groundwater Development Cosntruction </t>
  </si>
  <si>
    <t>CL-2009-120</t>
  </si>
  <si>
    <t xml:space="preserve">320Q 01 C1 Alfred Merrit Smith Water Treatment Facility Process Drainage Improvements </t>
  </si>
  <si>
    <t>CL-2009-121</t>
  </si>
  <si>
    <t xml:space="preserve">320B 01 C1 AMSWTF Laboratory Space Remodel </t>
  </si>
  <si>
    <t>CL-2009-122</t>
  </si>
  <si>
    <t xml:space="preserve">601344 Elevator Equipment Rooms- Code Compliance Retrofit </t>
  </si>
  <si>
    <t>CL-2009-123</t>
  </si>
  <si>
    <t xml:space="preserve">B &amp; H Construction, Inc. </t>
  </si>
  <si>
    <t xml:space="preserve">601343 North Las Vegas Community Resource Center Fence </t>
  </si>
  <si>
    <t>CL-2009-124</t>
  </si>
  <si>
    <t xml:space="preserve">09-07 Spring Valley Library Efficiency Remodel </t>
  </si>
  <si>
    <t>CL-2009-125</t>
  </si>
  <si>
    <t xml:space="preserve">09-06 Clark County Library Efficiency Remodel </t>
  </si>
  <si>
    <t>CL-2009-126</t>
  </si>
  <si>
    <t>Canceled New PWP 2010-41</t>
  </si>
  <si>
    <t xml:space="preserve">131-08-QC-001 On Call Construction Services </t>
  </si>
  <si>
    <t>CL-2009-127</t>
  </si>
  <si>
    <t xml:space="preserve">Rice Construction Company </t>
  </si>
  <si>
    <t>C1306 Miscellaneous Mian Extensions and Water Service Installations, Phase VII</t>
  </si>
  <si>
    <t>CL-2009-128</t>
  </si>
  <si>
    <t xml:space="preserve">MPID 0000243 Roof Replacement CVT Gilbert Elementary School </t>
  </si>
  <si>
    <t>CL-2009-129</t>
  </si>
  <si>
    <t>Canceled Under 100,000</t>
  </si>
  <si>
    <t xml:space="preserve">601347 Desert Breez Park Restroom Repair </t>
  </si>
  <si>
    <t xml:space="preserve">CL-2009-130 </t>
  </si>
  <si>
    <t xml:space="preserve">APCO Construction </t>
  </si>
  <si>
    <t xml:space="preserve">08.15341.04-LED LV Museum Phase 3 Rehabilitation 300 Stewart Avenue </t>
  </si>
  <si>
    <t>CL-2009-131</t>
  </si>
  <si>
    <t>Western States Contracting</t>
  </si>
  <si>
    <t xml:space="preserve">B601324-08 Durango Drive from  Southern Beltway to Hacienda Avenue and Sunset Road </t>
  </si>
  <si>
    <t>CL-2009-132</t>
  </si>
  <si>
    <t xml:space="preserve">07-0696-STR 2007 Pavement Reconstruction Project </t>
  </si>
  <si>
    <t>CL-2009-133</t>
  </si>
  <si>
    <t>HDPL</t>
  </si>
  <si>
    <t xml:space="preserve">C-09-00001 Green Valley Library Addition and Remodel </t>
  </si>
  <si>
    <t>CL-2009-134</t>
  </si>
  <si>
    <t xml:space="preserve">Las Vegas Advantage Electric </t>
  </si>
  <si>
    <t xml:space="preserve">08-0744-CC Boulder City Special Events Sign </t>
  </si>
  <si>
    <t>CL-2009-135</t>
  </si>
  <si>
    <t xml:space="preserve">M &amp; H Enterprises Inc </t>
  </si>
  <si>
    <t xml:space="preserve">601360 Emergency Power DJJS/DFS Campus </t>
  </si>
  <si>
    <t>CL-2009-136</t>
  </si>
  <si>
    <t xml:space="preserve">Crisci Builders </t>
  </si>
  <si>
    <t>Downs 5 Morrell Park Phase 11   131-09-PR-165-001</t>
  </si>
  <si>
    <t>CL-2009-137</t>
  </si>
  <si>
    <t xml:space="preserve">ACME Underground, Inc. </t>
  </si>
  <si>
    <t xml:space="preserve">2005-86-0072 Equestrian Tributary 1 Flood Control Project </t>
  </si>
  <si>
    <t>CL-2009-138</t>
  </si>
  <si>
    <t>CRCN</t>
  </si>
  <si>
    <t xml:space="preserve">Harber Company Inc </t>
  </si>
  <si>
    <t>CRCPDP-31 IPS-3 and CWC Substation 69kV Ductbank Project Phase 1</t>
  </si>
  <si>
    <t>CL-2009-139</t>
  </si>
  <si>
    <t xml:space="preserve">131-08-ST-034-001 Burkholder Blvd Roadway &amp; Trail Improvements </t>
  </si>
  <si>
    <t xml:space="preserve">CL-2009-140 </t>
  </si>
  <si>
    <t xml:space="preserve">Rice Cosntruction </t>
  </si>
  <si>
    <t xml:space="preserve">131-09-GG-R09-001 Water Street Site A Utilities Relocation </t>
  </si>
  <si>
    <t>LI-2009-141</t>
  </si>
  <si>
    <t>COC</t>
  </si>
  <si>
    <t xml:space="preserve">Bearing Point, LLC </t>
  </si>
  <si>
    <t xml:space="preserve">Caliente Fire House </t>
  </si>
  <si>
    <t>CL-2009-142</t>
  </si>
  <si>
    <t xml:space="preserve">Mountain Vista Development Inc </t>
  </si>
  <si>
    <t>0011764 Renovation/Expansion at New Administration Site at Seigle 2</t>
  </si>
  <si>
    <t>ES-2009-143</t>
  </si>
  <si>
    <t>ECBC</t>
  </si>
  <si>
    <t xml:space="preserve">K-W Western Inc </t>
  </si>
  <si>
    <t xml:space="preserve">09-B-01 Fish Lake Valley Community Center Renovation Project </t>
  </si>
  <si>
    <t>CL-2009-144</t>
  </si>
  <si>
    <t xml:space="preserve">ACME Electric </t>
  </si>
  <si>
    <t xml:space="preserve">TS-0624 Switchgear #5 and Duct Banks </t>
  </si>
  <si>
    <t>CL-2009-145</t>
  </si>
  <si>
    <t>J&amp;J Engineering Construction, Inc.</t>
  </si>
  <si>
    <t xml:space="preserve">08.53541.03-LED Water Pollution Control Facility Nitrification Aeration Basin Improvements </t>
  </si>
  <si>
    <t>CL-2009-146</t>
  </si>
  <si>
    <t xml:space="preserve">RFP-182 Fire/College Instruction Center </t>
  </si>
  <si>
    <t>CL-2009-147</t>
  </si>
  <si>
    <t xml:space="preserve">Mikon Construction </t>
  </si>
  <si>
    <t xml:space="preserve">0011865 Asphalt Playground Replacement </t>
  </si>
  <si>
    <t>CL-2009-148</t>
  </si>
  <si>
    <t xml:space="preserve">601372 Searchlight Justice Center Tenant Improvements </t>
  </si>
  <si>
    <t>CL-2009-149</t>
  </si>
  <si>
    <t xml:space="preserve">0011845 School Modernization Kirk Adams Elementary School  </t>
  </si>
  <si>
    <t xml:space="preserve">CL-2009-150 </t>
  </si>
  <si>
    <t xml:space="preserve">0011846 School Modernization James Gibson Elementary School </t>
  </si>
  <si>
    <t>CL-2009-151</t>
  </si>
  <si>
    <t>LVCVA</t>
  </si>
  <si>
    <t xml:space="preserve">09-2150 Pavilion 3150 Paradise Road </t>
  </si>
  <si>
    <t>CL-2009-152</t>
  </si>
  <si>
    <t>Canceled till further notice</t>
  </si>
  <si>
    <t>In-Fill Roadway Program - FY 2007</t>
  </si>
  <si>
    <t>CL-2009-153</t>
  </si>
  <si>
    <t xml:space="preserve">SAVI Construction </t>
  </si>
  <si>
    <t xml:space="preserve">07-0710-MC(1) LADWP Building Public Restrooms </t>
  </si>
  <si>
    <t>CL-2009-154</t>
  </si>
  <si>
    <t xml:space="preserve">TS-560A-P03 Moapa Valley Collection System - Lewis Force Mains Overton and Longdale </t>
  </si>
  <si>
    <t>Heat &amp; Frost Local 69</t>
  </si>
  <si>
    <t>Millwrights Local 1827</t>
  </si>
  <si>
    <t>OpEng Local 3</t>
  </si>
  <si>
    <t>Piledrivers Local 34</t>
  </si>
  <si>
    <t>Plasterers Local 797</t>
  </si>
  <si>
    <t>Plumbers Local 350</t>
  </si>
  <si>
    <t>Roofers Local 81</t>
  </si>
  <si>
    <t>Sheet Metal Local 26</t>
  </si>
  <si>
    <t>Sprinkler Local 669</t>
  </si>
  <si>
    <t>District Council 16</t>
  </si>
  <si>
    <t>Bricklayers Local 13</t>
  </si>
  <si>
    <t>Teamsters Local 533</t>
  </si>
  <si>
    <t>Carp Local 971</t>
  </si>
  <si>
    <t>Sheet Metal 88</t>
  </si>
  <si>
    <t>Regional Council</t>
  </si>
  <si>
    <t>IBEW Local 357</t>
  </si>
  <si>
    <t>IBEW 396</t>
  </si>
  <si>
    <t>Elev Local 18</t>
  </si>
  <si>
    <t>Laborers Local 872</t>
  </si>
  <si>
    <t>Painters Local 159</t>
  </si>
  <si>
    <t>Heat &amp; Frost Local 135</t>
  </si>
  <si>
    <t>OpEng Local 12</t>
  </si>
  <si>
    <t>Painters 159</t>
  </si>
  <si>
    <t>Southwest Carpenters</t>
  </si>
  <si>
    <t>Plumbers Local 525</t>
  </si>
  <si>
    <t>Roofers Local 162</t>
  </si>
  <si>
    <t>Sheet Metal Local 88</t>
  </si>
  <si>
    <t>Teamseters Local 631</t>
  </si>
  <si>
    <t>Average Fringe Benefit Percentage</t>
  </si>
  <si>
    <t>Ironworkers Local 433</t>
  </si>
  <si>
    <t>Glaziers Local 767</t>
  </si>
  <si>
    <t>Glaziers Local 2001</t>
  </si>
  <si>
    <t>Northern Nevada Local Union</t>
  </si>
  <si>
    <t>Southern Nevada Local Union</t>
  </si>
  <si>
    <t>Craft Code</t>
  </si>
  <si>
    <t>Classification</t>
  </si>
  <si>
    <t xml:space="preserve">07.15341.18-DC Fire Training Center Burn Tower </t>
  </si>
  <si>
    <t>CL-2009-165</t>
  </si>
  <si>
    <t xml:space="preserve">8106 01 C1 Duck Creek Confluence and Upper Narrow Weirs </t>
  </si>
  <si>
    <t>CL-2009-166</t>
  </si>
  <si>
    <t xml:space="preserve">810V 01 C1 DU Westlands No. 1 Weir </t>
  </si>
  <si>
    <t>CL-2009-167</t>
  </si>
  <si>
    <t xml:space="preserve">Canceled Federal Project </t>
  </si>
  <si>
    <t>DO-2009-1</t>
  </si>
  <si>
    <t>CANCELED 08/25/09</t>
  </si>
  <si>
    <t>MARTIN SLOUGH LINEAR PKWY PS 4</t>
  </si>
  <si>
    <t>11/0/08</t>
  </si>
  <si>
    <t>LY-2009-2</t>
  </si>
  <si>
    <t>WATER CONVEYANCE INFRASTRUCTUR 3B TRUCKEE CANAL</t>
  </si>
  <si>
    <t>WA-2009-3</t>
  </si>
  <si>
    <t>CAMPBELL CONSTRUCTION INC</t>
  </si>
  <si>
    <t>TRUCKEE RIIVER LEVEE FLOODWALL 395 TO E 2ND/GLENDALE</t>
  </si>
  <si>
    <t>WA-2009-4</t>
  </si>
  <si>
    <t>CANCELED 09/26/09</t>
  </si>
  <si>
    <t>RENO STEAD EFFLUENT TRUCK FILL STATION</t>
  </si>
  <si>
    <t>WA-2009-5</t>
  </si>
  <si>
    <t>CANCELED 04/29/09</t>
  </si>
  <si>
    <t>ALTERNATIVE SENTENCING DIV T I</t>
  </si>
  <si>
    <t>WA-2009-7</t>
  </si>
  <si>
    <t>WA CO RTC</t>
  </si>
  <si>
    <t>RTC 4TH STREET STATION</t>
  </si>
  <si>
    <t>WA-2009-8</t>
  </si>
  <si>
    <t>09 NEIGHBORHOOD ST REHABILITATION UNIT 1</t>
  </si>
  <si>
    <t>WA-2009-9</t>
  </si>
  <si>
    <t>09 NEIGHBORHOOD ST REHABILITATION UNIT 2</t>
  </si>
  <si>
    <t>WA-2009-10</t>
  </si>
  <si>
    <t>09 NEIGHBORHOOD ST REHABILITATION UNIT 3</t>
  </si>
  <si>
    <t>WA-2009-11</t>
  </si>
  <si>
    <t>HIGHLAND CANAL RCB -FORMAL</t>
  </si>
  <si>
    <t>WA-2009-12</t>
  </si>
  <si>
    <t>WCDWR</t>
  </si>
  <si>
    <t>DESERT SPRINGS WATER BLENDING</t>
  </si>
  <si>
    <t>WA-2009-13</t>
  </si>
  <si>
    <t>CANCELED 04/22/09</t>
  </si>
  <si>
    <t>PLEASANT VALLEY SEWER INTERCEPTOR REACH 3</t>
  </si>
  <si>
    <t>DO-2009-15</t>
  </si>
  <si>
    <t>DOUGLAS CO BORD OF COMMSNRS</t>
  </si>
  <si>
    <t>PETERSEN CONSTRUCTION</t>
  </si>
  <si>
    <t>N VALLEY WASTEWATER TREATMENT FACILITY PHASE II A</t>
  </si>
  <si>
    <t>WA-2009-16</t>
  </si>
  <si>
    <t>RENO- TAHOE AIRPORT AUTHORITY</t>
  </si>
  <si>
    <t>SOUND INSULATION PHS 17.3 CONTRACTOR</t>
  </si>
  <si>
    <t>WA-2009-17</t>
  </si>
  <si>
    <t>RENO -TAHOE AIRPORT AUTHORITY</t>
  </si>
  <si>
    <t>SOUND INSULATION PHS 17.4 CONTRACTOR</t>
  </si>
  <si>
    <t>WA-2009-18</t>
  </si>
  <si>
    <t>SOUND INSULATION PHS 17.5 CONTRACTOR</t>
  </si>
  <si>
    <t>WA-2009-19</t>
  </si>
  <si>
    <t>TRI-SIGNAL INTEGRATION</t>
  </si>
  <si>
    <t>CG ADA TRANSITION CHEMISTRY BUILDING-BUILDING FIRE ALARM UPGRADE</t>
  </si>
  <si>
    <t>EL-2009-20</t>
  </si>
  <si>
    <t>ADVANTAGE POOL PLASTERING</t>
  </si>
  <si>
    <t>JACKPOT POOL RE-PLASTER</t>
  </si>
  <si>
    <t>WP-2009-21</t>
  </si>
  <si>
    <t>SO NV WATER AUTHORITY</t>
  </si>
  <si>
    <t>WDC EXPLORATION &amp; WELLS</t>
  </si>
  <si>
    <t>HARBECKE RANCH IRRIGAION WELL CONSTRUCTION</t>
  </si>
  <si>
    <t>WA-2009-22</t>
  </si>
  <si>
    <t>PECK BROTHERS CONSTRUCTION</t>
  </si>
  <si>
    <t>TERRACE SPORTS COMPLEX WARM-UP AREA</t>
  </si>
  <si>
    <t>WA-2009-23</t>
  </si>
  <si>
    <t>UNDER 100,000/RENO CONCRETE</t>
  </si>
  <si>
    <t>08 CDBG PEDSTRIAN RAMP</t>
  </si>
  <si>
    <t>NEVER</t>
  </si>
  <si>
    <t>HU-2009-24</t>
  </si>
  <si>
    <t>HUMBOLT CONSERVATION CAMP WATER TANK REPLACEMENT</t>
  </si>
  <si>
    <t>EL-2009-25</t>
  </si>
  <si>
    <t>WATER RECLAMATION FACILITY EXPANSION &amp; UPGRADE:PHS 1 HEADWORKS</t>
  </si>
  <si>
    <t>CH-2009-26</t>
  </si>
  <si>
    <t>BOMBARD RENEWABLE ENERGY</t>
  </si>
  <si>
    <t>DESIGN BUILD FOR SOLAR PHOTO VOLTAIC NET METERED SYSTEM-FALLON</t>
  </si>
  <si>
    <t>LY-2009-28</t>
  </si>
  <si>
    <t>A &amp; K EARTH MOVERS</t>
  </si>
  <si>
    <t xml:space="preserve">WATER CONVEYANCE INFRASTRUCTURE 1B </t>
  </si>
  <si>
    <t>2/4/20009</t>
  </si>
  <si>
    <t>LY-2009-29</t>
  </si>
  <si>
    <t xml:space="preserve">WATER CONVEYANCE INFRASTRUCTURE 2B </t>
  </si>
  <si>
    <t>WP-2009-31</t>
  </si>
  <si>
    <t>DELAYED SEE WP-2010-7</t>
  </si>
  <si>
    <t>SPRING &amp; HAMLIN INTERBASIN MONITOR WELL CONSTRUCTION</t>
  </si>
  <si>
    <t>DELAYED SEE WP-2008-152</t>
  </si>
  <si>
    <t>CC-2009-32</t>
  </si>
  <si>
    <t>CARSON CITY COUNTY</t>
  </si>
  <si>
    <t>AM-ALARM INC</t>
  </si>
  <si>
    <t>WARM SPRINGS CORRECTIONAL DOOR PANEL CONTROL UPGRDS</t>
  </si>
  <si>
    <t>450,000 TO 650,000</t>
  </si>
  <si>
    <t>WA-2009-33</t>
  </si>
  <si>
    <t>SPARKS JUSTICE COURT</t>
  </si>
  <si>
    <t>WP-2009-34</t>
  </si>
  <si>
    <t>OFLAHERTY PLUMBING &amp; HEATING</t>
  </si>
  <si>
    <t>UPPER MURRY WATER</t>
  </si>
  <si>
    <t>WA-2009-35</t>
  </si>
  <si>
    <t>WASHOE COPUBLIC WORKS</t>
  </si>
  <si>
    <t>WES CONSTRUCTION</t>
  </si>
  <si>
    <t>MICHAEL D THOMPSON TRAILHEAD-HUNTER CREEK</t>
  </si>
  <si>
    <t>ST-2009-36</t>
  </si>
  <si>
    <t>CANYON GID SEWER IMPROVEMENT</t>
  </si>
  <si>
    <t>WA-2009-37</t>
  </si>
  <si>
    <t>09 PREVENTIVE MAINTENANCE PATCHING</t>
  </si>
  <si>
    <t>WA-2009-38</t>
  </si>
  <si>
    <t>09 PREVENTIVE MAINTENANCE SLURRY</t>
  </si>
  <si>
    <t>CC-2009-39</t>
  </si>
  <si>
    <t>A &amp; K EARTHMOVERS/UNDER 100,000</t>
  </si>
  <si>
    <t>CORPORATE YARD PAVING-PS 1</t>
  </si>
  <si>
    <t>CC-2009-40</t>
  </si>
  <si>
    <t>KG WALTERS CONSTRUCTION CO</t>
  </si>
  <si>
    <t>CC ARSENIC WATER TREATMENT PLANT &amp; PIPE LINE</t>
  </si>
  <si>
    <t>WA-2009-41</t>
  </si>
  <si>
    <t>ROCK PARK WHITE WATER PARK PHS 2</t>
  </si>
  <si>
    <t>45/19/09</t>
  </si>
  <si>
    <t>CC-2009-42</t>
  </si>
  <si>
    <t>CC RTC</t>
  </si>
  <si>
    <t>APPION WAY EXTENSION</t>
  </si>
  <si>
    <t>HU-2009-43</t>
  </si>
  <si>
    <t>HUMBOLDT CO COMMISSIONERS</t>
  </si>
  <si>
    <t>09 WINNEMUCCA EVENTS COMPLEX PARKING LOT PAVING</t>
  </si>
  <si>
    <t>EL-2009-44</t>
  </si>
  <si>
    <t>ELKO PARK FOUNDATION</t>
  </si>
  <si>
    <t>SCHELL CREEK CONSTRUCTION</t>
  </si>
  <si>
    <t>ELKO PEACE PARK RESTROOM FACILITY</t>
  </si>
  <si>
    <t>WA-2009-45</t>
  </si>
  <si>
    <t>HULDA WAY IMPROVEMENTS PHS II</t>
  </si>
  <si>
    <t>WA-2009-47</t>
  </si>
  <si>
    <t>MUNI COURT HVAC UPGRADE</t>
  </si>
  <si>
    <t>CC-2009-48</t>
  </si>
  <si>
    <t>STEWART ST EXTENSION</t>
  </si>
  <si>
    <t>EL-2009-49</t>
  </si>
  <si>
    <t>CANYON CONST/UNDER 100,000</t>
  </si>
  <si>
    <t>ELKO PEACE PARK ENTRY PORTAL</t>
  </si>
  <si>
    <t>PE-2009-50</t>
  </si>
  <si>
    <t>LOVELOCK MEADOWS WTR DIST</t>
  </si>
  <si>
    <t>IMPROVEMENT PLANS OREANO WELL</t>
  </si>
  <si>
    <t>WP-2009-51</t>
  </si>
  <si>
    <t>UNDER 100,000/SHELL CREEK CONSTR</t>
  </si>
  <si>
    <t>ADA CIVIL UPGRDS ELY STATE PRSN</t>
  </si>
  <si>
    <t>WA-2009-52</t>
  </si>
  <si>
    <t>WWW CONSTRUCTION</t>
  </si>
  <si>
    <t>ORR DITCY PUMP STA-08 PUMP INSTAL</t>
  </si>
  <si>
    <t>LY-2009-53</t>
  </si>
  <si>
    <t>KFC BUILDING CONCEPTS</t>
  </si>
  <si>
    <t>BUCKLAND STA FIRE SUPPRESN SYS</t>
  </si>
  <si>
    <t>CH-2009-54</t>
  </si>
  <si>
    <t>UNDER 100,000/IMPACT CONSTRUCTION</t>
  </si>
  <si>
    <t>NO. SHORE BOAT RAMP EXTNSION</t>
  </si>
  <si>
    <t>LY-2009-55</t>
  </si>
  <si>
    <t>DEPT CONSERVATION &amp; NAT RES</t>
  </si>
  <si>
    <t>ACTION CONST UNDER 100,000</t>
  </si>
  <si>
    <t>BEACH 7 ELECTRIC LINE REPLACEMENT</t>
  </si>
  <si>
    <t>EL-2009-56</t>
  </si>
  <si>
    <t>ELKO INTRAGNCY DSPTCH CNTR REPR</t>
  </si>
  <si>
    <t>LY-2009-57</t>
  </si>
  <si>
    <t>UNDER 100,000MARV MCQUEARY</t>
  </si>
  <si>
    <t>CONTROL VALVE RETROFIT</t>
  </si>
  <si>
    <t>WA-2009-58</t>
  </si>
  <si>
    <t>6TH FLR HVAC IMPROVMNTS</t>
  </si>
  <si>
    <t>DO-2009-59</t>
  </si>
  <si>
    <t>ASPEN DEVELOPERS CORP</t>
  </si>
  <si>
    <t xml:space="preserve"> WATER TANK 10B</t>
  </si>
  <si>
    <t>EU-2009-60</t>
  </si>
  <si>
    <t>EUREKA COUNTY</t>
  </si>
  <si>
    <t>EUREKA 08 WTR SYSTM IMPRVMNTS</t>
  </si>
  <si>
    <t>WA-2009-61</t>
  </si>
  <si>
    <t>RENO SPARKS CONVENTION CNTR</t>
  </si>
  <si>
    <t>CANCELED 04/01/09</t>
  </si>
  <si>
    <t>GRAPHIC WALL LIGHTING</t>
  </si>
  <si>
    <t>WA-2009-62</t>
  </si>
  <si>
    <t>VEHICLE MAINTENANCE &amp; STORG BLDG</t>
  </si>
  <si>
    <t>LY-2009-63</t>
  </si>
  <si>
    <t>WTR CNVYNC IFRSTRCTR PS9</t>
  </si>
  <si>
    <t>WA-2009-64</t>
  </si>
  <si>
    <t>DVERSFIED CNCRTE CTTNG/ 94,168</t>
  </si>
  <si>
    <t>NNAMHS BUILDING 23  DEMOLITION</t>
  </si>
  <si>
    <t>EL-2009-65</t>
  </si>
  <si>
    <t>NE NV REGNL RAILPORT PHS 1 CONST</t>
  </si>
  <si>
    <t>WA-2009-66</t>
  </si>
  <si>
    <t>LEMMON DR AT US 395 CAPACITY IMPR</t>
  </si>
  <si>
    <t>CC-2009-67</t>
  </si>
  <si>
    <t>LYN MARIE TRUCKING INC</t>
  </si>
  <si>
    <t>CC WTRFL FIR WTRSHD IMPRV PS 1</t>
  </si>
  <si>
    <t>EL-2009-68</t>
  </si>
  <si>
    <t>ELKO PEACE PARK BRIDGE I</t>
  </si>
  <si>
    <t>EL-2009-69</t>
  </si>
  <si>
    <t>ELKO PEACE PARK BRIDGE II</t>
  </si>
  <si>
    <t>WA-2009-70</t>
  </si>
  <si>
    <t>09-10 PERMANENT PATCH PROGRAM</t>
  </si>
  <si>
    <t>WA-2009-71</t>
  </si>
  <si>
    <t>SIERRA WINDOW FASHIONS</t>
  </si>
  <si>
    <t>CRT HOUSE SFTY GLZNG FLM INSATLL</t>
  </si>
  <si>
    <t>WA-2009-72</t>
  </si>
  <si>
    <t>SECURITY SYSTMS UPGRD ACAMS PS1</t>
  </si>
  <si>
    <t>2,500,000 TO 3,500,000.</t>
  </si>
  <si>
    <t>WA-2009-74</t>
  </si>
  <si>
    <t>MOUNTAIN WEST CONTRACTORS</t>
  </si>
  <si>
    <t>TERRACE SPRTS CMPLX ACCSS RAMP</t>
  </si>
  <si>
    <t>EL-2009--76</t>
  </si>
  <si>
    <t>MACH 4 CONSTRUCTION</t>
  </si>
  <si>
    <t>WELL #43 WATER WELL HOUSE</t>
  </si>
  <si>
    <t xml:space="preserve">WA-2009-77   </t>
  </si>
  <si>
    <t>J SLASH B ENTERPRISES INC</t>
  </si>
  <si>
    <t>JAN EVANS DETNTN CNTR SOD RPLCMT</t>
  </si>
  <si>
    <t>WA-2009-78</t>
  </si>
  <si>
    <t>WWW CONSTRUCTION INC</t>
  </si>
  <si>
    <t>CONDUCTOR HEIGHTS DEMOLITION</t>
  </si>
  <si>
    <t>WA-2009-79</t>
  </si>
  <si>
    <t>EAST LINCOLN WAY</t>
  </si>
  <si>
    <t>WA-2009-80</t>
  </si>
  <si>
    <t>BLDG 8 RMDL NO NV ADLT MNTL HLTH</t>
  </si>
  <si>
    <t>WA-2009-81</t>
  </si>
  <si>
    <t>CITYOF RENO</t>
  </si>
  <si>
    <t>CANCELED 10/22/09</t>
  </si>
  <si>
    <t xml:space="preserve">TRUCKEE RIVER BANK STABILIZATION OXBW PARK </t>
  </si>
  <si>
    <t>WA-2009-83R</t>
  </si>
  <si>
    <t xml:space="preserve"> VASSAR ST RECONSTRCTN</t>
  </si>
  <si>
    <t>WA-2009-84</t>
  </si>
  <si>
    <t>LOS ALTOS PKWY RECONSTRUCTION</t>
  </si>
  <si>
    <t>WA-2009-85</t>
  </si>
  <si>
    <t>PEOPLES DRAIN DITCH IMPROVEMENT</t>
  </si>
  <si>
    <t>DO-2009-86</t>
  </si>
  <si>
    <t>TAHOE REGIONAL PLANNING AGENCY</t>
  </si>
  <si>
    <t>CENTRAL SIERRA CONSTRUCTION</t>
  </si>
  <si>
    <t>GSA TENANT IMPRVMNTS STE 2A</t>
  </si>
  <si>
    <t>DO-2009-87</t>
  </si>
  <si>
    <t>EAST SLOPE CNS &amp; WM TREMAINE CONS</t>
  </si>
  <si>
    <t>TENANTS IMPRVMNT STE 3F TRNSPRTN</t>
  </si>
  <si>
    <t>DO-2009-88</t>
  </si>
  <si>
    <t>SRA FRNT INTRGNCY DSPTCH CNTR &amp;</t>
  </si>
  <si>
    <t>950,000 TO 1,050,000</t>
  </si>
  <si>
    <t>WA-2009-92</t>
  </si>
  <si>
    <t>RENO-TAHOE CONSTRUCTION /ARRA</t>
  </si>
  <si>
    <t>MOGUL BYPASS PIPELINE</t>
  </si>
  <si>
    <t>2818/09</t>
  </si>
  <si>
    <t>LY-2009-94</t>
  </si>
  <si>
    <t>CANYON CREEK CONSTRUCTION</t>
  </si>
  <si>
    <t>WTR CNVYNCE IFRSTRCTR 4</t>
  </si>
  <si>
    <t>WA-2009-95</t>
  </si>
  <si>
    <t>09 PUMP STA REHAB DRISCL &amp; FOLSM</t>
  </si>
  <si>
    <t>WA-2009-96</t>
  </si>
  <si>
    <t>NORTHERN NEVADA EXCAVATING</t>
  </si>
  <si>
    <t>VIRGINIA LKE PRK PHS 2 IMPRVMNTS</t>
  </si>
  <si>
    <t>WA-2009-97</t>
  </si>
  <si>
    <t>INCLINE VILLAGE GID-PUBLIC WORKS</t>
  </si>
  <si>
    <t>MKD CONSTRUCTION</t>
  </si>
  <si>
    <t>EFLNT EXPRT SGMNT 1 SO &amp; SGMNT 5</t>
  </si>
  <si>
    <t>DO-2009-98</t>
  </si>
  <si>
    <t>SAME AS ABOVE EXCEPT IN CRSN VLY</t>
  </si>
  <si>
    <t>2/13/0/09</t>
  </si>
  <si>
    <t>WA-2009-104</t>
  </si>
  <si>
    <t>CANCELED 09/30/09</t>
  </si>
  <si>
    <t>GRANTS LNDING TRUCKEE RVR RMP</t>
  </si>
  <si>
    <t>WA-2009-105</t>
  </si>
  <si>
    <t>SOUND INSULATION PHS 17.6 CNTRCTR</t>
  </si>
  <si>
    <t>PE-2009-106</t>
  </si>
  <si>
    <t>RAMADAS ADA SEPTIC CONTRACT</t>
  </si>
  <si>
    <t>WA-2009-110</t>
  </si>
  <si>
    <t>SILVER LAKE RD REHAB</t>
  </si>
  <si>
    <t>DO-2009-111</t>
  </si>
  <si>
    <t>DO CO BOARD OF COMMISSIONERS</t>
  </si>
  <si>
    <t>LAKE PKWY SIDWALK IMPRVMNTS</t>
  </si>
  <si>
    <t>EL-2009-112</t>
  </si>
  <si>
    <t>DWNTWN CORIDOR LTNG 10TH-11TH</t>
  </si>
  <si>
    <t>DO-2009-113</t>
  </si>
  <si>
    <t>TWN OF MNDN 09 ALLEY WTRLN UPGRD</t>
  </si>
  <si>
    <t>EU-2009-114</t>
  </si>
  <si>
    <t>JD RANCH BRIDGE REPLCMNT</t>
  </si>
  <si>
    <t>WA-2009-116</t>
  </si>
  <si>
    <t>FDRLY FNDED ADA IMPRVMNTS</t>
  </si>
  <si>
    <t>WA-2009-117</t>
  </si>
  <si>
    <t>MOUNTAIN WEST EXCAVATION</t>
  </si>
  <si>
    <t>FDRLY FNDED ZEPHYR WY CRB GTTR</t>
  </si>
  <si>
    <t>WA-2009-120</t>
  </si>
  <si>
    <t>DELAYED SEE 2010-24</t>
  </si>
  <si>
    <t>OXBOW NATR STDY BRDWALK RPLCMN</t>
  </si>
  <si>
    <t>MI-2009-121</t>
  </si>
  <si>
    <t>DELAYED</t>
  </si>
  <si>
    <t>BABBIT WELL DRILLING</t>
  </si>
  <si>
    <t>CC-2009-122</t>
  </si>
  <si>
    <t>FUJI PARK URBAN FISHING POND</t>
  </si>
  <si>
    <t>WA-2009-123</t>
  </si>
  <si>
    <t>UNDER 100,000/DAN O CONSTRUCTION</t>
  </si>
  <si>
    <t>WASHOE LKE STE PRK EQSTRIAN TOLT</t>
  </si>
  <si>
    <t>LY-2009-124</t>
  </si>
  <si>
    <t>UNDER 100,000/SIERRA NV CONST</t>
  </si>
  <si>
    <t>2008/09 CRACK SEAL</t>
  </si>
  <si>
    <t>CH-2009-125</t>
  </si>
  <si>
    <t xml:space="preserve">DWNTWN STSCAPE ENBARCMENT PS3 </t>
  </si>
  <si>
    <t>WA-2009-126</t>
  </si>
  <si>
    <t>CANCELD 08/26/09</t>
  </si>
  <si>
    <t>GRANTS LANDNG RVR ACESS RAMP</t>
  </si>
  <si>
    <t>TBD</t>
  </si>
  <si>
    <t>EL-2009-127</t>
  </si>
  <si>
    <t>OLSON FENCING INC</t>
  </si>
  <si>
    <t>OWYHEE ARPORT FENCE</t>
  </si>
  <si>
    <t>WA-2009-128</t>
  </si>
  <si>
    <t>PANDA RSTRNT GRP/UNR</t>
  </si>
  <si>
    <t>HBH CONSTRUCTION INC</t>
  </si>
  <si>
    <t>PNDA EXPRS UNR CMPS</t>
  </si>
  <si>
    <t>WA-2009-129</t>
  </si>
  <si>
    <t>STEAD AFB MAIN MTR RPLCMNT PS 2</t>
  </si>
  <si>
    <t>DO-2009-130</t>
  </si>
  <si>
    <t>E FORK FIRE &amp; PARMEDIC DIST</t>
  </si>
  <si>
    <t>DMV CNVRSN TO EFFPD ADMIN OFFC</t>
  </si>
  <si>
    <t>DO-2009-131</t>
  </si>
  <si>
    <t>DOUGLAS COUNTY</t>
  </si>
  <si>
    <t>APCO CONSTRUCTION INC</t>
  </si>
  <si>
    <t>DOUGLAS COUNTY JAIL EXPANSION</t>
  </si>
  <si>
    <t>EL-2009-132</t>
  </si>
  <si>
    <t>INSTALLATIONS FRO CITY WELL #43</t>
  </si>
  <si>
    <t>LY-2009-134</t>
  </si>
  <si>
    <t>DPT CNSRVTN &amp; NTURL RSRCS</t>
  </si>
  <si>
    <t>HORIZON CONSTR/UNDER 100,000</t>
  </si>
  <si>
    <t>CARSON RIVER DELTA EQSTRIAN AREA</t>
  </si>
  <si>
    <t>DO-2009-136</t>
  </si>
  <si>
    <t>QUALCON CONTRACTORS INC</t>
  </si>
  <si>
    <t>EDDY STREET REHABILITATION</t>
  </si>
  <si>
    <t>WA-2009-137</t>
  </si>
  <si>
    <t>VICTORIAN AVE REHABILITATION</t>
  </si>
  <si>
    <t>WA-2009-138</t>
  </si>
  <si>
    <t>RENO CONSOLIDATED 08-01</t>
  </si>
  <si>
    <t>WA-2009-139</t>
  </si>
  <si>
    <t>MILL STREET RECONSTRUCTION</t>
  </si>
  <si>
    <t>WA-2009-140</t>
  </si>
  <si>
    <t>MARV MCQUEARY/UNDER 100,000</t>
  </si>
  <si>
    <t>09 SRVC LINE RPLCMNT-MTR RLCTN</t>
  </si>
  <si>
    <t>04/09/09 UNDER 100,000</t>
  </si>
  <si>
    <t>WA-2009-141</t>
  </si>
  <si>
    <t>STATE PAINTING CO INC</t>
  </si>
  <si>
    <t>RALEIGH HEIGHTS #1 TANK REMODEL</t>
  </si>
  <si>
    <t>LY-2009-142</t>
  </si>
  <si>
    <t xml:space="preserve">WTR CNVUNC 3C MESA DR MN ST </t>
  </si>
  <si>
    <t>5/5/019</t>
  </si>
  <si>
    <t>WA-2009-143</t>
  </si>
  <si>
    <t>TMWA MAIN RPLCMNT PYRAMID WAY</t>
  </si>
  <si>
    <t>950,000 TO 1,250,000</t>
  </si>
  <si>
    <t>CH-2009-144</t>
  </si>
  <si>
    <t>DELAYED SEE CH-2010-28</t>
  </si>
  <si>
    <t>CH-2009-145</t>
  </si>
  <si>
    <t>DELAYED SEE CH-2009-145</t>
  </si>
  <si>
    <t>RATTLESNAKE HILL &amp; RIO VISTA PIPEILNE</t>
  </si>
  <si>
    <t>PE-2009-146</t>
  </si>
  <si>
    <t>KNIFE RIVER</t>
  </si>
  <si>
    <t>LVLK MDWS WTR DIST WTRLN PHS 2</t>
  </si>
  <si>
    <t>WA-2009-149</t>
  </si>
  <si>
    <t>OLYMPUS &amp; ASSO/UNDER 100,000</t>
  </si>
  <si>
    <t>PEAVINE TANK REPAIRS</t>
  </si>
  <si>
    <t>DO-2009-150</t>
  </si>
  <si>
    <t>09 STREET REHAB</t>
  </si>
  <si>
    <t>HU-2009-151</t>
  </si>
  <si>
    <t>09 WINNEMUCCAEVNTS CMPLX RSTRM</t>
  </si>
  <si>
    <t>LY-2009-152</t>
  </si>
  <si>
    <t>WEST LIFT STATION IMPROVEMENTS</t>
  </si>
  <si>
    <t>LY-2009-155</t>
  </si>
  <si>
    <t>LYON CO BRD OF COMMISSIONERS</t>
  </si>
  <si>
    <t>LYON CO RTC SLURRY SEAL SLVR SPR</t>
  </si>
  <si>
    <t>WA-2009-156</t>
  </si>
  <si>
    <t xml:space="preserve">CANCELED 03/02/09 </t>
  </si>
  <si>
    <t>FDRLY FND ST LIGHTING RPLC ST LIT E</t>
  </si>
  <si>
    <t>LY-2009-157</t>
  </si>
  <si>
    <t>HWY 50 LFT STA &amp; FRC MAIN RPLCMNT</t>
  </si>
  <si>
    <t>WA-2009-158</t>
  </si>
  <si>
    <t>MAE ANNE AVE RECONSTRUCTION</t>
  </si>
  <si>
    <t>EL-2009-159</t>
  </si>
  <si>
    <t>13TH STREET SEWER IMPRVMNTS</t>
  </si>
  <si>
    <t>EL-2009-162</t>
  </si>
  <si>
    <t>WSTWTR TRTMNT PLNT HEADWORKS</t>
  </si>
  <si>
    <t>WP-2009-163</t>
  </si>
  <si>
    <t>HCI UNDERGROUND</t>
  </si>
  <si>
    <t>FAMILY CMPGRND IMPROVEMENTS</t>
  </si>
  <si>
    <t>EL-2009-164</t>
  </si>
  <si>
    <t xml:space="preserve"> DELAYED SEE 2010-19</t>
  </si>
  <si>
    <t>CC-2009-166</t>
  </si>
  <si>
    <t>CANCELED 03/25/09</t>
  </si>
  <si>
    <t>SURVELLANCE CAMERAS NCC</t>
  </si>
  <si>
    <t>EL-2009-167</t>
  </si>
  <si>
    <t>NAVCO CONSTRUCTION</t>
  </si>
  <si>
    <t>CARIOT TRK BSTR STA PRV VLT PIPLN</t>
  </si>
  <si>
    <t>WA-2009-168</t>
  </si>
  <si>
    <t>09 PRVNTV MNTNC CITY OF RENO STS</t>
  </si>
  <si>
    <t>WA-2009-170</t>
  </si>
  <si>
    <t>G E CHEN CONSTRUCTION</t>
  </si>
  <si>
    <t>SOUND INSULATION PROGRAM PHASE 18.1 CONTRACTOR</t>
  </si>
  <si>
    <t>WA-2009-171</t>
  </si>
  <si>
    <t>SOUND INSULATION PROGRAM PHASE 18.2 CONTRACTOR</t>
  </si>
  <si>
    <t>EU-2009-172</t>
  </si>
  <si>
    <t>RUBY HILL SIDEWALK/SEWER IMPRVMT</t>
  </si>
  <si>
    <t>CC-2009-173</t>
  </si>
  <si>
    <t>SCHOLTEN ROOFING SERVICE CO</t>
  </si>
  <si>
    <t>RE-ROOF HOUSING UNTIS 4 &amp; 5 NCC</t>
  </si>
  <si>
    <t>WP-2009-175</t>
  </si>
  <si>
    <t>DIRTWORKS</t>
  </si>
  <si>
    <t>PINE &amp; MILLL SEWER</t>
  </si>
  <si>
    <t>WA-2009-176</t>
  </si>
  <si>
    <t>PEMBROKE DR RECONSTRUCTION</t>
  </si>
  <si>
    <t>EL-2009-186</t>
  </si>
  <si>
    <t>METROPOLIS WATER IRRIGATION DIST</t>
  </si>
  <si>
    <t>CANCELED 8/25/09</t>
  </si>
  <si>
    <t>METROPOLIS IRRIGATION RESTORATION</t>
  </si>
  <si>
    <t>LY-2009-191</t>
  </si>
  <si>
    <t>COTTONWOOD YARD TRUCK FILL STA</t>
  </si>
  <si>
    <t>WA-2009-192</t>
  </si>
  <si>
    <t>SIERRA EROSION CONTROL INC</t>
  </si>
  <si>
    <t>TRUCKEE RVR BLW DERBY DAM</t>
  </si>
  <si>
    <t>WA-2009-196</t>
  </si>
  <si>
    <t>RAW SEWG PMP VFD AT TMWRF</t>
  </si>
  <si>
    <t>WA-2009-197</t>
  </si>
  <si>
    <t>SILVER LAKE 16" WATER MAIN</t>
  </si>
  <si>
    <t>CC-2009-198</t>
  </si>
  <si>
    <t>NV CMM FOR THE RCNSTRCTN V &amp; T</t>
  </si>
  <si>
    <t>V &amp; T RLWY IMPRVMNTS PS 3A</t>
  </si>
  <si>
    <t>EL-2009-199</t>
  </si>
  <si>
    <t>CANYON CONSTRUCTIONuUNDR 100,000</t>
  </si>
  <si>
    <t>SECONDARY DIGESTER ROOF REPAIR</t>
  </si>
  <si>
    <t>WA-2009-200</t>
  </si>
  <si>
    <t>DIVERSIFIED CONCRETE CUTTING INC</t>
  </si>
  <si>
    <t>AIRSIDE PVMNT REPAIRS &amp; REHAB PS5</t>
  </si>
  <si>
    <t>CC-2009-201</t>
  </si>
  <si>
    <t>BOMBARD ELECTRIC/ UNDR 100,000</t>
  </si>
  <si>
    <t>CAPITOL PHOTOVOLTAIC INSTALLATION</t>
  </si>
  <si>
    <t>WA-2009-202</t>
  </si>
  <si>
    <t>WA CO SHERIFFS OFC CYBR CRIMES</t>
  </si>
  <si>
    <t>EL-2009-203</t>
  </si>
  <si>
    <t>CITY OF W WENDOVER</t>
  </si>
  <si>
    <t>STAKER &amp; PARSONS CO</t>
  </si>
  <si>
    <t>W WNDVR N GENE L JONES WY PVMNT</t>
  </si>
  <si>
    <t>CC-2009-204</t>
  </si>
  <si>
    <t>A &amp; K EARTH MOVERS INC</t>
  </si>
  <si>
    <t>S CURRY ST PHS 1 IMPROVEMENTS</t>
  </si>
  <si>
    <t>WA-2009-205</t>
  </si>
  <si>
    <t>CMAQ PEDESTRIAN PATH AT SUN VLLY</t>
  </si>
  <si>
    <t>WA-2009-207</t>
  </si>
  <si>
    <t>GERHARDT &amp; BERRY CONSTRUCTIN INC</t>
  </si>
  <si>
    <t>09 WATERMAIN REPLACEMENT</t>
  </si>
  <si>
    <t>DO-2009-210</t>
  </si>
  <si>
    <t>AQUA DRILLING &amp; PUMP SRV</t>
  </si>
  <si>
    <t>JOBS PEAK WELL #2 REPLACEMENT</t>
  </si>
  <si>
    <t>EL-2009-211</t>
  </si>
  <si>
    <t>WNDVR CURB &amp; GUTTER ACCESS</t>
  </si>
  <si>
    <t>DO-2009-212</t>
  </si>
  <si>
    <t>2009 PAVING PROJECT</t>
  </si>
  <si>
    <t>CC-2009-213</t>
  </si>
  <si>
    <t>REHAB &amp; REALIN RNWY 9/27 &amp; TXIWY A</t>
  </si>
  <si>
    <t>EL-2009-214</t>
  </si>
  <si>
    <t>CAMINO CONSTRUCTORS</t>
  </si>
  <si>
    <t>PRIMRY CLRIFIER OVRFLO PIPNG RHAB</t>
  </si>
  <si>
    <t>WA-2009-215</t>
  </si>
  <si>
    <t>APRON REHAB PHS 12</t>
  </si>
  <si>
    <t>DO-2009-216</t>
  </si>
  <si>
    <t>09 ROAD SEAL</t>
  </si>
  <si>
    <t>WA-2009-217</t>
  </si>
  <si>
    <t>SAIC</t>
  </si>
  <si>
    <t>INTEROPERABLE RADIO COMM 80 CRDR</t>
  </si>
  <si>
    <t>WA-2009-218</t>
  </si>
  <si>
    <t>RE-ROOF 4 BUILDINGS</t>
  </si>
  <si>
    <t>DO-2009-219</t>
  </si>
  <si>
    <t>WILSON CONSTRUCTION INC</t>
  </si>
  <si>
    <t>FY 2010 ST MAINTENANCE</t>
  </si>
  <si>
    <t>WA-2009-220</t>
  </si>
  <si>
    <t>SUMMIT RIDGE &amp; SKY MTN DR</t>
  </si>
  <si>
    <t>WA-2009-221</t>
  </si>
  <si>
    <t>CANCELED SEE WA-2009-315</t>
  </si>
  <si>
    <t>FDRLY FNDED SPNSH SPRNGS SNTRY</t>
  </si>
  <si>
    <t>CANCELED 06/09/09</t>
  </si>
  <si>
    <t>DO-2009-222</t>
  </si>
  <si>
    <t>F &amp; B INC/UNDER 100,000</t>
  </si>
  <si>
    <t>KINGSBURY VILLAGE WATERLINE</t>
  </si>
  <si>
    <t>HU-2009-223</t>
  </si>
  <si>
    <t>09 WINNEMUCCA WATER MAIN</t>
  </si>
  <si>
    <t>HU-2009-224</t>
  </si>
  <si>
    <t>09 WINNEMUCCA ST RECONSTRUCTION</t>
  </si>
  <si>
    <t>HY-2009-225</t>
  </si>
  <si>
    <t>09 WINNEMUCCA ST SEALING</t>
  </si>
  <si>
    <t>WA-2009-226</t>
  </si>
  <si>
    <t>24" STUB RETIREMNT 1-80 TO MCCARAN</t>
  </si>
  <si>
    <t>WA-2009-228</t>
  </si>
  <si>
    <t>SPARKS CONSOLIDATED 09-02</t>
  </si>
  <si>
    <t>WA-2009-229</t>
  </si>
  <si>
    <t>BUILDING SOLUTIONS</t>
  </si>
  <si>
    <t>DRI CAVE FACILITY PLAZA</t>
  </si>
  <si>
    <t>WA-2009-230</t>
  </si>
  <si>
    <t>REG TRANSPORT COMM WASHOE CO</t>
  </si>
  <si>
    <t>ROBB DR/SHARLANDS AVE INTERSEC</t>
  </si>
  <si>
    <t>WE-2009-231</t>
  </si>
  <si>
    <t>SEWER REHAB PROJ-PHASE 1B</t>
  </si>
  <si>
    <t>EU-2009-232</t>
  </si>
  <si>
    <t>EUREKA CO BOARD &amp; COMMISSIONS</t>
  </si>
  <si>
    <t>2009 STREET MAINTENANCE PROJECT</t>
  </si>
  <si>
    <t>WA-2009-233</t>
  </si>
  <si>
    <t>VICTORIAN AVE REHABILITATION-PHS 1</t>
  </si>
  <si>
    <t>WA-2009-234</t>
  </si>
  <si>
    <t>GRAINTE CONSTRUCTION CO</t>
  </si>
  <si>
    <t>VICTORIAN AVE REHABILITATION-PHS 2</t>
  </si>
  <si>
    <t>EL-2009-235</t>
  </si>
  <si>
    <t>CITY OF CARLIN</t>
  </si>
  <si>
    <t>CARLIN BRANCH LIBRARY</t>
  </si>
  <si>
    <t>WA-2009-236</t>
  </si>
  <si>
    <t>DELAYED SEE WA-2010-20</t>
  </si>
  <si>
    <t>EAST 4TH ENHANCEMENT</t>
  </si>
  <si>
    <t>EU-2009-237</t>
  </si>
  <si>
    <t>EUREKA CO BOARD &amp; CMMSNRS</t>
  </si>
  <si>
    <t>EUREKA CO 09 AIRPORT MAINTENANCE</t>
  </si>
  <si>
    <t>EL-2009-238</t>
  </si>
  <si>
    <t>ELKO CO PUBLIC WORKS</t>
  </si>
  <si>
    <t>CA INTRPRTV CNTR --TRAILS</t>
  </si>
  <si>
    <t>EL-2009-239</t>
  </si>
  <si>
    <t>WRF EMERGENCY STORAGE RSVOIR</t>
  </si>
  <si>
    <t>DO-2009-240</t>
  </si>
  <si>
    <t>CANCLED 11/17/09</t>
  </si>
  <si>
    <t>2009 OVERLAY</t>
  </si>
  <si>
    <t>WA-2009-241</t>
  </si>
  <si>
    <t>09 RENO SEWER REHAB PHS 1A</t>
  </si>
  <si>
    <t>WA-2009-242</t>
  </si>
  <si>
    <t>VICTORIAN AVE WATER MAIN REPLACEMENT</t>
  </si>
  <si>
    <t>WA-2009-243</t>
  </si>
  <si>
    <t>SHERIFF OFFICE CRIME LAB REMODEL</t>
  </si>
  <si>
    <t>CC-2009-245</t>
  </si>
  <si>
    <t>SIMPLEX GRINNELL/UNDER 100,000</t>
  </si>
  <si>
    <t xml:space="preserve">FIRE ALARM UPGRD SPRNKLR SYSM </t>
  </si>
  <si>
    <t>110,000 TO 150,000</t>
  </si>
  <si>
    <t>DO-2009-247</t>
  </si>
  <si>
    <t xml:space="preserve">N COUNTY CC SEWER INTERTIE </t>
  </si>
  <si>
    <t>EU-2009-248</t>
  </si>
  <si>
    <t>EUREKA CO BRD OF CO COMISHRS</t>
  </si>
  <si>
    <t>EUREKA CO COURTHOUSE RE-ROOF</t>
  </si>
  <si>
    <t>CC-2009-249</t>
  </si>
  <si>
    <t>CITY HALL ROOF REPLACEMENT</t>
  </si>
  <si>
    <t>WA-2009-253</t>
  </si>
  <si>
    <t>W SEVENTH ST RECONSTRUCTION</t>
  </si>
  <si>
    <t>EL-2009-254</t>
  </si>
  <si>
    <t>WELL #43 WATER MAIN EXTENTION</t>
  </si>
  <si>
    <t>WA-2009-255</t>
  </si>
  <si>
    <t>TRUCKEE RVR BKFLW MDFICTN</t>
  </si>
  <si>
    <t>WA-2009-257</t>
  </si>
  <si>
    <t>RENO-SPARKS CONVENTION CNTR</t>
  </si>
  <si>
    <t>D &amp; D ROOFING &amp; SHEET METAL</t>
  </si>
  <si>
    <t>CONCOURSE RE-ROOF</t>
  </si>
  <si>
    <t>DO-2009-258</t>
  </si>
  <si>
    <t>ZEPHYR HEIGHTS GID</t>
  </si>
  <si>
    <t>KUSTOM KOATINGS INC</t>
  </si>
  <si>
    <t>WA-2009-259</t>
  </si>
  <si>
    <t>TITAN ELECTRICAL CONTRACTING</t>
  </si>
  <si>
    <t>GOLDEN EAGLE REGNL PRK TFFC SGNL</t>
  </si>
  <si>
    <t>CC-2009-260</t>
  </si>
  <si>
    <t>PECORILLA HYDROSEEDING</t>
  </si>
  <si>
    <t>FAIRVIEW DR LANDSCAPING</t>
  </si>
  <si>
    <t>WA-2009-261</t>
  </si>
  <si>
    <t>OLCESE CONSTRUCTION/UNDER100,000</t>
  </si>
  <si>
    <t>PACIFIC PAWNBROKER BLDG DMLTION</t>
  </si>
  <si>
    <t>WA-2009-263</t>
  </si>
  <si>
    <t>LILLARD DR RECONSTRUCTION</t>
  </si>
  <si>
    <t>LY-2009-265</t>
  </si>
  <si>
    <t>E WSTWTR TRTMNT POND 1 RECONST</t>
  </si>
  <si>
    <t>WA-2009-266</t>
  </si>
  <si>
    <t>09 CURB GUTTER &amp; SIDEWALKS</t>
  </si>
  <si>
    <t>CC-2009-269</t>
  </si>
  <si>
    <t>AUTOMATED WEATHER OBSRVTN SYS</t>
  </si>
  <si>
    <t>MI-2009-270</t>
  </si>
  <si>
    <t>MINERAL COUNTY</t>
  </si>
  <si>
    <t>HAWTHORNE UTLTS BABBIT WELL</t>
  </si>
  <si>
    <t>WA-2009-271</t>
  </si>
  <si>
    <t>MAINTENANCE YARD PHS 2</t>
  </si>
  <si>
    <t>WA-2009-272</t>
  </si>
  <si>
    <t xml:space="preserve">ALF SORENSEN RE-ROOF </t>
  </si>
  <si>
    <t>CC-2009-273</t>
  </si>
  <si>
    <t>USPFO PAVE &amp; POWER 2009</t>
  </si>
  <si>
    <t>WA-2009-274</t>
  </si>
  <si>
    <t>NEVADA ARMY NATIONAL GUARD</t>
  </si>
  <si>
    <t>STEAD TRAINING CENTER 2009</t>
  </si>
  <si>
    <t>WP-2009-275</t>
  </si>
  <si>
    <t>ELY STATE PRISON ADA REHAB</t>
  </si>
  <si>
    <t>WA-2009-276</t>
  </si>
  <si>
    <t>FIRE STA 2 HVAC REMODEL</t>
  </si>
  <si>
    <t>PE-2009-277</t>
  </si>
  <si>
    <t>NELSON ELECTRIC CO INC</t>
  </si>
  <si>
    <t>CONTROL VALVE ACTUATOR RPLCMNT</t>
  </si>
  <si>
    <t>WA-2009-278</t>
  </si>
  <si>
    <t>REYMAN BROTHERS CONSTRUCTION</t>
  </si>
  <si>
    <t>AIR QUALITY OFFICES REMODEL</t>
  </si>
  <si>
    <t>EU-2009-279</t>
  </si>
  <si>
    <t>EUREKA COUNTY PUBLIC WORKS</t>
  </si>
  <si>
    <t>PEAVINE CONSTRUCTION INC</t>
  </si>
  <si>
    <t>DEVILS GATE 1 &amp; 2 WATER TRANS</t>
  </si>
  <si>
    <t>WA-2009-280</t>
  </si>
  <si>
    <t xml:space="preserve">REGIONAL TRANSPORTATION </t>
  </si>
  <si>
    <t>FREEPORT BLVD &amp; STENERI WAY</t>
  </si>
  <si>
    <t>EL-2009-281</t>
  </si>
  <si>
    <t>NV DEPT OF WILDLIFE</t>
  </si>
  <si>
    <t>WASHBURN FENCING INC</t>
  </si>
  <si>
    <t>HWY 93 OVERPASS BIG GAME FENCE</t>
  </si>
  <si>
    <t>LA-2009-282</t>
  </si>
  <si>
    <t>LANDER CO BOARD OF COMMISSION</t>
  </si>
  <si>
    <t>HUNEWILL CONSTRUCTION</t>
  </si>
  <si>
    <t>LANDER CO 2009 PAVING PROJECT</t>
  </si>
  <si>
    <t>DO-2009-284</t>
  </si>
  <si>
    <t>SPIESS CONSTRUCTION CO INC</t>
  </si>
  <si>
    <t>UPPAWAY WTR STORGE TNK RPLCMNT</t>
  </si>
  <si>
    <t>CC-2009-285</t>
  </si>
  <si>
    <t>DON GARCIA EXCAVATING &amp; PAVING</t>
  </si>
  <si>
    <t>09 ADA SIDWLK IMPRVMNT PHS 1</t>
  </si>
  <si>
    <t>CC-2009-286</t>
  </si>
  <si>
    <t>09 ADA SIDWLK IMPRVMNT PHS II</t>
  </si>
  <si>
    <t>EL-2009-287</t>
  </si>
  <si>
    <t>SCHELL CREEK CONSTRUCTION INC</t>
  </si>
  <si>
    <t>340,000 GALLON STRG RESVOIR COVR</t>
  </si>
  <si>
    <t>WA-2009-289</t>
  </si>
  <si>
    <t>RENO CONSOLIDATED 09-02 PHS 1</t>
  </si>
  <si>
    <t>WA-2009-290</t>
  </si>
  <si>
    <t>RENO CONSOLIDATED 09-02 PHS 2</t>
  </si>
  <si>
    <t>WA-2009-291</t>
  </si>
  <si>
    <t>DELAYED SEE WA-2010-58</t>
  </si>
  <si>
    <t>WA-2009-292</t>
  </si>
  <si>
    <t>MOVA BLVD RECONSTRUCTION</t>
  </si>
  <si>
    <t>WP-2009-293</t>
  </si>
  <si>
    <t>SOUTHERN NV WATR AUTHORITY</t>
  </si>
  <si>
    <t>DUPLICATE SEE WP 2009-21</t>
  </si>
  <si>
    <t xml:space="preserve">HARBECKE RANCH IRRIGTN WELL </t>
  </si>
  <si>
    <t>LY-2009-295</t>
  </si>
  <si>
    <t>WATER METER PLAN PROJECT 12</t>
  </si>
  <si>
    <t>WA-2009-296</t>
  </si>
  <si>
    <t>09/10 ST CUT PVMNT REPAIR INCLN VLG</t>
  </si>
  <si>
    <t>WA-2009-297</t>
  </si>
  <si>
    <t>09/10 ST CT PVMNT REPAIR TRKE MDWS</t>
  </si>
  <si>
    <t>CC-2009-298</t>
  </si>
  <si>
    <t>CC FRWY PHS 2B UTLTY RELO EDMNDS</t>
  </si>
  <si>
    <t>HU-2009-299</t>
  </si>
  <si>
    <t>HUMBOLDT LAWN &amp; LANDSCAPE</t>
  </si>
  <si>
    <t>WINNEMUCCA GATEWAY</t>
  </si>
  <si>
    <t>CC-2009-300</t>
  </si>
  <si>
    <t xml:space="preserve"> CARSON CITY TOYOTA</t>
  </si>
  <si>
    <t>EU-2009-302</t>
  </si>
  <si>
    <t>EUREKA BOARD OF CO COMMIS</t>
  </si>
  <si>
    <t>SHERIFFS OFCE &amp; JAIL ADDITN 7 REMDL</t>
  </si>
  <si>
    <t>WA-2009-304</t>
  </si>
  <si>
    <t>DELAYED SEE WA-2010-41</t>
  </si>
  <si>
    <t>CURB &amp; GUTTER PAVEMENT SLURRY SEAL MARKING</t>
  </si>
  <si>
    <t>EL-2009-305</t>
  </si>
  <si>
    <t>CHEAL CUSTOM FENCE CO</t>
  </si>
  <si>
    <t>JACKPOT AIRPORT PERIMNTR FNCNG</t>
  </si>
  <si>
    <t>LY-2009-306</t>
  </si>
  <si>
    <t>09/10 SLURRY SEAL &amp; PATCH</t>
  </si>
  <si>
    <t>CH-2009-308</t>
  </si>
  <si>
    <t>GLACIER</t>
  </si>
  <si>
    <t>ADA IMPRVMNTS CO FAIRGRNDS FLLON</t>
  </si>
  <si>
    <t>WA-2009-309</t>
  </si>
  <si>
    <t>LONGLEY LANE RECONSTRUCTION</t>
  </si>
  <si>
    <t>DO-2009-310</t>
  </si>
  <si>
    <t>VAN SICKLE BI-STATE PARK</t>
  </si>
  <si>
    <t>WA-2009-311</t>
  </si>
  <si>
    <t>THIRD CREEK RESTORATION</t>
  </si>
  <si>
    <t>WA-2009-312</t>
  </si>
  <si>
    <t>PERMANENT PATCH PROGRAM</t>
  </si>
  <si>
    <t>PE-2009-314</t>
  </si>
  <si>
    <t>PERSHING CO BRD OF COMMISNERS</t>
  </si>
  <si>
    <t>UNDER 100,000/Z7 DEVELOPMENT</t>
  </si>
  <si>
    <t>DERBY FIELD AIRPORT</t>
  </si>
  <si>
    <t>WA-2009-315</t>
  </si>
  <si>
    <t>SPANISH SPRNGS SANITARY SWR PS 3</t>
  </si>
  <si>
    <t>EL-2009-316</t>
  </si>
  <si>
    <t>SOUTHSIDE TENNIS COURTS REHAB</t>
  </si>
  <si>
    <t>WA-2009-317</t>
  </si>
  <si>
    <t>ECHO AVE RECONSTRUCTION</t>
  </si>
  <si>
    <t>WA-2009-318</t>
  </si>
  <si>
    <t>EL RANCHO RECONSTRUCTION</t>
  </si>
  <si>
    <t>CH-2009-321</t>
  </si>
  <si>
    <t>CAROL LANE ABANDONMENT</t>
  </si>
  <si>
    <t>WA-2009-322</t>
  </si>
  <si>
    <t>DELAYED SEE WA-2010-42</t>
  </si>
  <si>
    <t>MILITARY ROAD RECONSTRUCTION</t>
  </si>
  <si>
    <t>WA-2009-323</t>
  </si>
  <si>
    <t>SIERRA ST BRIDGE REPAIR</t>
  </si>
  <si>
    <t>PE-2009-324</t>
  </si>
  <si>
    <t>DELAYED SEE PE-2010-52</t>
  </si>
  <si>
    <t>CC-2009-325</t>
  </si>
  <si>
    <t>A &amp; A CONSTRUCTION</t>
  </si>
  <si>
    <t>OLD CLEAR CREEK RD FRONTAGE</t>
  </si>
  <si>
    <t>WA-2009-326</t>
  </si>
  <si>
    <t>LINDEN-GROVE AREA SDWLK PHS 2</t>
  </si>
  <si>
    <t>WA-2009-327</t>
  </si>
  <si>
    <t>VICTORIAN AVE SEWER REHAB</t>
  </si>
  <si>
    <t>WA-2009-328</t>
  </si>
  <si>
    <t>VISTA BOULEVARD WIDENING</t>
  </si>
  <si>
    <t>WA-2009-329</t>
  </si>
  <si>
    <t>SHRIFFS OFC NNCTC EMRGNCY GENRTR</t>
  </si>
  <si>
    <t>WA-2009-331</t>
  </si>
  <si>
    <t>MARV MCQUERY EXCAVATING</t>
  </si>
  <si>
    <t>SPRKS LBRY &amp; MCGEE CNTR PRKNG</t>
  </si>
  <si>
    <t>EL-2009-332</t>
  </si>
  <si>
    <t>RUNWAY 5-23 OBSTRUCTION REMOVAL</t>
  </si>
  <si>
    <t>WA-2009-334</t>
  </si>
  <si>
    <t>LAS BRISAS BLVD RECONSTRUCTION</t>
  </si>
  <si>
    <t>EL-2009-335</t>
  </si>
  <si>
    <t>CITYOF CARLIN</t>
  </si>
  <si>
    <t>4TH STREET RECONSTRUCTION</t>
  </si>
  <si>
    <t>HU-2009-336</t>
  </si>
  <si>
    <t>GOLCONDA FIRE PROTECTION DIST</t>
  </si>
  <si>
    <t>MICHAEL CLAYCORP</t>
  </si>
  <si>
    <t>GOLCONDA SHOOL PHASE III B</t>
  </si>
  <si>
    <t>MI-2009-338</t>
  </si>
  <si>
    <t>MINERAL CO BRD OF CMMISNRS</t>
  </si>
  <si>
    <t>HAWTHORNE INDUSTRIAL AIRPORT</t>
  </si>
  <si>
    <t>WA-2009-340</t>
  </si>
  <si>
    <t xml:space="preserve">09 SUMMER PVMENT REHAB </t>
  </si>
  <si>
    <t>CC-2009-341</t>
  </si>
  <si>
    <t>GOLDIE INC</t>
  </si>
  <si>
    <t>ASBSTS ABTMNT &amp; DMLTN PS III NGF</t>
  </si>
  <si>
    <t>CC-2009-342</t>
  </si>
  <si>
    <t>MICHAEL HOHL MNGMNT GRP</t>
  </si>
  <si>
    <t>METCALF BUILDERS</t>
  </si>
  <si>
    <t>MICHAEL HOHL HONDA</t>
  </si>
  <si>
    <t>CC-2009-343</t>
  </si>
  <si>
    <t>MICHAEL HOHL SUBARU</t>
  </si>
  <si>
    <t>LY-2009-344</t>
  </si>
  <si>
    <t>V &amp; C CONSTRUCTIONUNDER 100,000</t>
  </si>
  <si>
    <t>BRIDGE ST CIVIL IMPROVEMNTS/UNDER 100,000</t>
  </si>
  <si>
    <t>1/15/100</t>
  </si>
  <si>
    <t>CC-2009-345</t>
  </si>
  <si>
    <t>NV ARMY NATIONAL GUARD</t>
  </si>
  <si>
    <t>CSMS FRONT LOT ASPHALT RPLCMNT</t>
  </si>
  <si>
    <t>8//11/09</t>
  </si>
  <si>
    <t>WA-2009-346</t>
  </si>
  <si>
    <t>PLA REAR LOT ASPHALT REPLCMNT</t>
  </si>
  <si>
    <t>WA-2009-347</t>
  </si>
  <si>
    <t>AASF AIRFIELD APRON REHAB</t>
  </si>
  <si>
    <t>DO-2009-348</t>
  </si>
  <si>
    <t>MINDEN/TAHOE AIRPORT IMPROVEMENT #19 &amp; 20</t>
  </si>
  <si>
    <t>WA-2009-349</t>
  </si>
  <si>
    <t>RDC INC</t>
  </si>
  <si>
    <t xml:space="preserve">TMWRF EFFLUENT PMP STA MODS PH2 </t>
  </si>
  <si>
    <t>CC-2009-350</t>
  </si>
  <si>
    <t>MORGN MILL RD RIVER ACCESS</t>
  </si>
  <si>
    <t>WA-2009-352</t>
  </si>
  <si>
    <t>PIONEER DAM RECONSTRUCTION</t>
  </si>
  <si>
    <t>HU-2009-353</t>
  </si>
  <si>
    <t>CITY OF W MUNICIPAL AIRPORT</t>
  </si>
  <si>
    <t>DO-2009-354</t>
  </si>
  <si>
    <t>CAVE ROCK WTR SYS IMPVMNTS PS 1</t>
  </si>
  <si>
    <t>LY-2009-355</t>
  </si>
  <si>
    <t>RIVER PARK II</t>
  </si>
  <si>
    <t>WA-2009-356</t>
  </si>
  <si>
    <t>WASHOE CO AIRPORT AUTHORITY</t>
  </si>
  <si>
    <t>ROYAL ELECTRIC CO</t>
  </si>
  <si>
    <t>AIRFIELD LIGHTING UPGRADES &amp; MODIFICATIONS</t>
  </si>
  <si>
    <t>WA-2009-357</t>
  </si>
  <si>
    <t>ARFLD LTNG RPLC W ARFLD LTNG VLT</t>
  </si>
  <si>
    <t>HU-2009-358</t>
  </si>
  <si>
    <t>GEN HOSPITAL AMBULANCE BARN</t>
  </si>
  <si>
    <t>DO-2009-359</t>
  </si>
  <si>
    <t>CANCELED 1/15/10</t>
  </si>
  <si>
    <t>RANCH@GARD &amp; BUCK RD TEST WELLS</t>
  </si>
  <si>
    <t>CH-2009-360</t>
  </si>
  <si>
    <t>WHITAKER WATER MAIN EXTENTION</t>
  </si>
  <si>
    <t>CH-2009-361</t>
  </si>
  <si>
    <t>SURFACE TRTMNT VARIOUS STS</t>
  </si>
  <si>
    <t>WA-2009-362</t>
  </si>
  <si>
    <t>APRON RECNSTRCTN PHS 13</t>
  </si>
  <si>
    <t>CC-2009-363</t>
  </si>
  <si>
    <t>09 MICRO SURFACE PROJECT</t>
  </si>
  <si>
    <t>CC-2009-364</t>
  </si>
  <si>
    <t>COMBINED SUPORT MNTNCE SHOP</t>
  </si>
  <si>
    <t>WA-2009-365</t>
  </si>
  <si>
    <t xml:space="preserve">ROOF RPLCMNT-MAIN TERMINL  2,4,12          </t>
  </si>
  <si>
    <t>WA-2009-367</t>
  </si>
  <si>
    <t>SOLAR ARRAY RETROFIT</t>
  </si>
  <si>
    <t>CC-2009-368</t>
  </si>
  <si>
    <t>CC FAIRGROUNDS URBAN FISHING POND</t>
  </si>
  <si>
    <t>LY-2009-370</t>
  </si>
  <si>
    <t>BUILDING SOLUTIONS/UNDER 100,000</t>
  </si>
  <si>
    <t>YERINGTON AIRPORT HELIPAD/UNDER 100,000</t>
  </si>
  <si>
    <t>12*/23/09</t>
  </si>
  <si>
    <t>CC-2009-371</t>
  </si>
  <si>
    <t>BISON CONSTRUCTION/UNDER 100,000</t>
  </si>
  <si>
    <t>SITE ENTRY IMPRVMNTS NV NTNL GRD</t>
  </si>
  <si>
    <t>WA-2009-372</t>
  </si>
  <si>
    <t>SHERIFFS OFFICE HU-7 HVAC RTROFIT</t>
  </si>
  <si>
    <t>WA-2009-373</t>
  </si>
  <si>
    <t>S TRUCKEE MEADOWS GID</t>
  </si>
  <si>
    <t>CANCLED 12-23-09</t>
  </si>
  <si>
    <t>HU-2009-377</t>
  </si>
  <si>
    <t>CANCELED SEE HU-2010-36</t>
  </si>
  <si>
    <t>LINING OF WASTWATR TREATMENT POND</t>
  </si>
  <si>
    <t>LA-2009-378</t>
  </si>
  <si>
    <t>LANDER CO SEWER &amp; WATER DIST 2</t>
  </si>
  <si>
    <t xml:space="preserve"> CANCELED SEE LA-2010-7</t>
  </si>
  <si>
    <t>RELOCATION OF WASTEWATR TREATMENT PONDS</t>
  </si>
  <si>
    <t>MI-2009-379</t>
  </si>
  <si>
    <t>DELAYED SEE 2010-94</t>
  </si>
  <si>
    <t>BABBIT WELL HOUSE</t>
  </si>
  <si>
    <t>ST-2009-380</t>
  </si>
  <si>
    <t>DELAYED SEE 2010-84</t>
  </si>
  <si>
    <t>RECHIM WATER SYSTME IMPROVEMENT</t>
  </si>
  <si>
    <t>WA-2009-381</t>
  </si>
  <si>
    <t>DELAYED SEE WA-2010-203</t>
  </si>
  <si>
    <t>EL-2009-382</t>
  </si>
  <si>
    <t>GROUND WATER PROTECTION CARLIN CONSERVATION CORP</t>
  </si>
  <si>
    <t>WA-2009-383</t>
  </si>
  <si>
    <t>SYSTEM 3 INC.</t>
  </si>
  <si>
    <t>LDJ COMMUNITY CNTR PHOYVOLAIC SYS RETROFIT</t>
  </si>
  <si>
    <t>WA-2009-384</t>
  </si>
  <si>
    <t>TRUCKEE MEADOWS WATER</t>
  </si>
  <si>
    <t>VALLEY ROAD MAIN REPLACEMENT</t>
  </si>
  <si>
    <t>WA-2009-386</t>
  </si>
  <si>
    <t>WASHOE CO DPT WTR RESORCS</t>
  </si>
  <si>
    <t>DELAYED SEE WA-2010-51</t>
  </si>
  <si>
    <t xml:space="preserve">FIELDCREEK RECLAIMED RESERVOIR COVER REPLACEMENT </t>
  </si>
  <si>
    <t>LA-2009-387</t>
  </si>
  <si>
    <t>HUNEWILL CONSTRUCTION INC</t>
  </si>
  <si>
    <t>LANDER CO 2009 PHASE 2 PAVING</t>
  </si>
  <si>
    <t>LY-2009-388</t>
  </si>
  <si>
    <t>L A PERKS PLUMBING &amp; HEATING</t>
  </si>
  <si>
    <t>AVIATION FUEL STORAGE &amp; DISPENSING SYS</t>
  </si>
  <si>
    <t>LA-2009-389</t>
  </si>
  <si>
    <t>GVENORS BRD BATTLE MT GEN HOSP</t>
  </si>
  <si>
    <t>SHAHEEN-BEAUCHAMP BUILDERS</t>
  </si>
  <si>
    <t>BATTLE MT GEN HOSPITAL EMERGENCY DEPT- DAY ROOM ADD</t>
  </si>
  <si>
    <t>CC-2009-390</t>
  </si>
  <si>
    <t>Z7 DEVELOPMENT/ARRA</t>
  </si>
  <si>
    <t>PEDESTRIAN IMPROVENMNT-E 5TH ST &amp; GONI RD.</t>
  </si>
  <si>
    <t>WA-2009-392</t>
  </si>
  <si>
    <t>FLUME 18 RECONSTRUCTION</t>
  </si>
  <si>
    <t>WA-2009-393</t>
  </si>
  <si>
    <t>FLUME 1 RECONSTRUCTION</t>
  </si>
  <si>
    <t>WA-2009-394</t>
  </si>
  <si>
    <t>DON M LAZARKO CONST/UNDER 100,000</t>
  </si>
  <si>
    <t>CALIFORNIA TRAIL SIGN PROJECT</t>
  </si>
  <si>
    <t>LY-2009-395</t>
  </si>
  <si>
    <t>DELAYED SEE LY-2010-67</t>
  </si>
  <si>
    <t>DAYTON COMMUNITY CENTER STRUCTURAL REHAB</t>
  </si>
  <si>
    <t>WA-2009-396</t>
  </si>
  <si>
    <t>2009 FLUME REHABILITATION</t>
  </si>
  <si>
    <t>WA-2009-397</t>
  </si>
  <si>
    <t>WASHOE CO</t>
  </si>
  <si>
    <t>DEVCON CONSTRUCTION INC</t>
  </si>
  <si>
    <t>RENO AAA BASEBALL RETAIL PROJECT</t>
  </si>
  <si>
    <t>CC-2009-398</t>
  </si>
  <si>
    <t>WELL # 50 DRILLING</t>
  </si>
  <si>
    <t>CC-2009-401</t>
  </si>
  <si>
    <t>NV DEPT OF CORRECTIONS</t>
  </si>
  <si>
    <t>NORESCO PHASE 1</t>
  </si>
  <si>
    <t>6/ 0/2009</t>
  </si>
  <si>
    <t>CC-2009-402</t>
  </si>
  <si>
    <t>NORESCO PHASE 2</t>
  </si>
  <si>
    <t>WA-2009-403</t>
  </si>
  <si>
    <t>APS ENERGY SERVICES</t>
  </si>
  <si>
    <t>ENERGY EFFICIENCY &amp; RENEWABEL ENERGY INITIATIVE</t>
  </si>
  <si>
    <t>CL-2009-392</t>
  </si>
  <si>
    <t>Materials 50%</t>
  </si>
  <si>
    <t>Labor 50%</t>
  </si>
  <si>
    <t>note: Labor Costs are 50% of Project Cost</t>
  </si>
  <si>
    <t>Annual Growth in PW rates, 2010 - 2011</t>
  </si>
  <si>
    <t>2011 Difference Between PW Survey Avg. and PW rates</t>
  </si>
  <si>
    <t>Annual Growth, 2010 - 2011</t>
  </si>
  <si>
    <t>2011 PW Survey Average</t>
  </si>
  <si>
    <t>PW 2010</t>
  </si>
  <si>
    <t>PW 2011</t>
  </si>
  <si>
    <t>Difference Between PW Rates and Survey Avg.</t>
  </si>
  <si>
    <t>DETR Mean Wages</t>
  </si>
  <si>
    <t>Wage Premium</t>
  </si>
  <si>
    <t>Total Job Classifications</t>
  </si>
  <si>
    <t># Cases PW Set to Union Rate</t>
  </si>
  <si>
    <t># Cases PW Set to Survey Average</t>
  </si>
  <si>
    <t>DETR Mean Wage + 40% Benefits</t>
  </si>
  <si>
    <t>Average Wage Premium over (DETR + 40%)</t>
  </si>
  <si>
    <t>Nevada Prevailing Wage Comparison By County</t>
  </si>
  <si>
    <t>Public Works</t>
  </si>
  <si>
    <t>NSHE &amp; School Districts</t>
  </si>
  <si>
    <t>Expenditures on Public Works Projects in Nevada, 2009, 2010</t>
  </si>
  <si>
    <t>Excess Labor Cost - South</t>
  </si>
  <si>
    <t>Excess Labor Cost - North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</si>
</sst>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;[Red]&quot;$&quot;#,##0.00"/>
    <numFmt numFmtId="165" formatCode="mm/dd/yy"/>
    <numFmt numFmtId="166" formatCode="&quot;$&quot;#,##0.00"/>
  </numFmts>
  <fonts count="27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</font>
    <font>
      <b/>
      <sz val="10"/>
      <color indexed="8"/>
      <name val="Arial"/>
    </font>
    <font>
      <sz val="10"/>
      <color indexed="9"/>
      <name val="Arial"/>
    </font>
    <font>
      <b/>
      <u/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0" fillId="0" borderId="0" xfId="0" applyNumberFormat="1" applyAlignment="1">
      <alignment wrapText="1"/>
    </xf>
    <xf numFmtId="0" fontId="7" fillId="0" borderId="0" xfId="0" applyFont="1"/>
    <xf numFmtId="43" fontId="0" fillId="0" borderId="0" xfId="0" applyNumberFormat="1"/>
    <xf numFmtId="43" fontId="3" fillId="0" borderId="0" xfId="0" applyNumberFormat="1" applyFont="1" applyAlignment="1">
      <alignment wrapText="1"/>
    </xf>
    <xf numFmtId="43" fontId="5" fillId="0" borderId="0" xfId="0" applyNumberFormat="1" applyFont="1" applyAlignment="1">
      <alignment wrapText="1"/>
    </xf>
    <xf numFmtId="43" fontId="1" fillId="0" borderId="0" xfId="1" applyNumberFormat="1" applyAlignment="1" applyProtection="1">
      <alignment wrapText="1"/>
    </xf>
    <xf numFmtId="43" fontId="6" fillId="0" borderId="0" xfId="0" applyNumberFormat="1" applyFont="1" applyAlignment="1">
      <alignment wrapText="1"/>
    </xf>
    <xf numFmtId="43" fontId="4" fillId="0" borderId="0" xfId="0" applyNumberFormat="1" applyFont="1" applyAlignment="1">
      <alignment wrapText="1"/>
    </xf>
    <xf numFmtId="0" fontId="0" fillId="0" borderId="0" xfId="0" applyNumberFormat="1"/>
    <xf numFmtId="10" fontId="0" fillId="0" borderId="0" xfId="0" applyNumberForma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43" fontId="0" fillId="0" borderId="1" xfId="0" applyNumberFormat="1" applyBorder="1"/>
    <xf numFmtId="10" fontId="7" fillId="0" borderId="1" xfId="0" applyNumberFormat="1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 wrapText="1"/>
    </xf>
    <xf numFmtId="10" fontId="5" fillId="0" borderId="0" xfId="0" applyNumberFormat="1" applyFont="1" applyAlignment="1">
      <alignment wrapText="1"/>
    </xf>
    <xf numFmtId="10" fontId="1" fillId="0" borderId="0" xfId="1" applyNumberFormat="1" applyAlignment="1" applyProtection="1">
      <alignment wrapText="1"/>
    </xf>
    <xf numFmtId="10" fontId="3" fillId="0" borderId="0" xfId="0" applyNumberFormat="1" applyFont="1" applyAlignment="1">
      <alignment wrapText="1"/>
    </xf>
    <xf numFmtId="0" fontId="7" fillId="0" borderId="0" xfId="0" applyNumberFormat="1" applyFont="1"/>
    <xf numFmtId="0" fontId="7" fillId="0" borderId="1" xfId="0" applyFont="1" applyBorder="1"/>
    <xf numFmtId="43" fontId="7" fillId="0" borderId="1" xfId="0" applyNumberFormat="1" applyFont="1" applyBorder="1"/>
    <xf numFmtId="43" fontId="7" fillId="0" borderId="0" xfId="0" applyNumberFormat="1" applyFont="1" applyAlignment="1">
      <alignment wrapText="1"/>
    </xf>
    <xf numFmtId="43" fontId="8" fillId="0" borderId="0" xfId="0" applyNumberFormat="1" applyFont="1" applyAlignment="1">
      <alignment wrapText="1"/>
    </xf>
    <xf numFmtId="43" fontId="11" fillId="0" borderId="0" xfId="0" applyNumberFormat="1" applyFont="1" applyAlignment="1">
      <alignment wrapText="1"/>
    </xf>
    <xf numFmtId="43" fontId="12" fillId="0" borderId="0" xfId="0" applyNumberFormat="1" applyFont="1" applyAlignment="1">
      <alignment wrapText="1"/>
    </xf>
    <xf numFmtId="43" fontId="10" fillId="0" borderId="0" xfId="1" applyNumberFormat="1" applyFont="1" applyAlignment="1" applyProtection="1">
      <alignment horizontal="center" wrapText="1"/>
    </xf>
    <xf numFmtId="43" fontId="14" fillId="0" borderId="0" xfId="0" applyNumberFormat="1" applyFont="1" applyAlignment="1">
      <alignment wrapText="1"/>
    </xf>
    <xf numFmtId="0" fontId="7" fillId="0" borderId="1" xfId="0" applyNumberFormat="1" applyFont="1" applyBorder="1"/>
    <xf numFmtId="10" fontId="7" fillId="0" borderId="1" xfId="0" applyNumberFormat="1" applyFont="1" applyBorder="1" applyAlignment="1">
      <alignment horizontal="right" wrapText="1"/>
    </xf>
    <xf numFmtId="10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wrapText="1"/>
    </xf>
    <xf numFmtId="10" fontId="7" fillId="0" borderId="0" xfId="0" applyNumberFormat="1" applyFont="1"/>
    <xf numFmtId="43" fontId="7" fillId="0" borderId="0" xfId="0" applyNumberFormat="1" applyFont="1"/>
    <xf numFmtId="0" fontId="8" fillId="0" borderId="0" xfId="0" applyFont="1" applyAlignment="1">
      <alignment horizontal="center"/>
    </xf>
    <xf numFmtId="10" fontId="8" fillId="0" borderId="0" xfId="0" applyNumberFormat="1" applyFont="1"/>
    <xf numFmtId="0" fontId="8" fillId="0" borderId="0" xfId="0" applyFont="1"/>
    <xf numFmtId="0" fontId="1" fillId="0" borderId="0" xfId="1" applyFont="1" applyAlignment="1" applyProtection="1">
      <alignment horizontal="left" wrapText="1" indent="1"/>
    </xf>
    <xf numFmtId="43" fontId="8" fillId="0" borderId="0" xfId="0" applyNumberFormat="1" applyFont="1"/>
    <xf numFmtId="10" fontId="7" fillId="0" borderId="0" xfId="0" applyNumberFormat="1" applyFont="1" applyAlignment="1">
      <alignment horizontal="center"/>
    </xf>
    <xf numFmtId="43" fontId="10" fillId="0" borderId="0" xfId="1" applyNumberFormat="1" applyFont="1" applyAlignment="1" applyProtection="1">
      <alignment wrapText="1"/>
    </xf>
    <xf numFmtId="10" fontId="7" fillId="0" borderId="0" xfId="0" applyNumberFormat="1" applyFont="1" applyAlignment="1">
      <alignment wrapText="1"/>
    </xf>
    <xf numFmtId="10" fontId="11" fillId="0" borderId="0" xfId="0" applyNumberFormat="1" applyFont="1" applyAlignment="1">
      <alignment wrapText="1"/>
    </xf>
    <xf numFmtId="10" fontId="10" fillId="0" borderId="0" xfId="1" applyNumberFormat="1" applyFont="1" applyAlignment="1" applyProtection="1">
      <alignment wrapText="1"/>
    </xf>
    <xf numFmtId="43" fontId="7" fillId="0" borderId="0" xfId="1" applyNumberFormat="1" applyFont="1" applyAlignment="1" applyProtection="1">
      <alignment wrapText="1"/>
    </xf>
    <xf numFmtId="8" fontId="0" fillId="0" borderId="0" xfId="0" applyNumberFormat="1"/>
    <xf numFmtId="0" fontId="13" fillId="0" borderId="0" xfId="1" applyFont="1" applyAlignment="1" applyProtection="1">
      <alignment horizontal="left" wrapText="1" indent="1"/>
    </xf>
    <xf numFmtId="0" fontId="7" fillId="0" borderId="0" xfId="0" applyFont="1" applyBorder="1"/>
    <xf numFmtId="43" fontId="0" fillId="0" borderId="0" xfId="0" applyNumberFormat="1" applyBorder="1"/>
    <xf numFmtId="10" fontId="7" fillId="0" borderId="0" xfId="0" applyNumberFormat="1" applyFont="1" applyBorder="1"/>
    <xf numFmtId="0" fontId="0" fillId="0" borderId="0" xfId="0" applyBorder="1"/>
    <xf numFmtId="43" fontId="7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 wrapText="1"/>
    </xf>
    <xf numFmtId="43" fontId="7" fillId="0" borderId="0" xfId="0" applyNumberFormat="1" applyFont="1" applyBorder="1"/>
    <xf numFmtId="10" fontId="7" fillId="0" borderId="0" xfId="0" applyNumberFormat="1" applyFont="1" applyBorder="1" applyAlignment="1">
      <alignment horizontal="right" wrapText="1"/>
    </xf>
    <xf numFmtId="0" fontId="0" fillId="0" borderId="2" xfId="0" applyBorder="1"/>
    <xf numFmtId="10" fontId="0" fillId="0" borderId="2" xfId="0" applyNumberFormat="1" applyBorder="1"/>
    <xf numFmtId="10" fontId="0" fillId="0" borderId="0" xfId="0" applyNumberFormat="1" applyBorder="1"/>
    <xf numFmtId="41" fontId="0" fillId="0" borderId="0" xfId="0" applyNumberFormat="1"/>
    <xf numFmtId="9" fontId="7" fillId="0" borderId="0" xfId="0" applyNumberFormat="1" applyFont="1"/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horizontal="right" wrapText="1"/>
    </xf>
    <xf numFmtId="14" fontId="15" fillId="0" borderId="0" xfId="0" applyNumberFormat="1" applyFont="1" applyAlignment="1">
      <alignment horizontal="right" wrapText="1"/>
    </xf>
    <xf numFmtId="165" fontId="15" fillId="0" borderId="0" xfId="0" applyNumberFormat="1" applyFont="1" applyAlignment="1">
      <alignment horizontal="right" wrapText="1"/>
    </xf>
    <xf numFmtId="14" fontId="15" fillId="0" borderId="0" xfId="0" applyNumberFormat="1" applyFont="1" applyAlignment="1">
      <alignment wrapText="1"/>
    </xf>
    <xf numFmtId="0" fontId="15" fillId="2" borderId="0" xfId="0" applyFont="1" applyFill="1" applyAlignment="1">
      <alignment wrapText="1"/>
    </xf>
    <xf numFmtId="16" fontId="17" fillId="0" borderId="0" xfId="0" applyNumberFormat="1" applyFont="1" applyAlignment="1">
      <alignment wrapText="1"/>
    </xf>
    <xf numFmtId="16" fontId="15" fillId="0" borderId="0" xfId="0" applyNumberFormat="1" applyFont="1" applyAlignment="1">
      <alignment wrapText="1"/>
    </xf>
    <xf numFmtId="17" fontId="18" fillId="0" borderId="0" xfId="0" applyNumberFormat="1" applyFont="1" applyAlignment="1">
      <alignment wrapText="1"/>
    </xf>
    <xf numFmtId="0" fontId="15" fillId="3" borderId="0" xfId="0" applyFont="1" applyFill="1" applyAlignment="1">
      <alignment wrapText="1"/>
    </xf>
    <xf numFmtId="164" fontId="15" fillId="3" borderId="0" xfId="0" applyNumberFormat="1" applyFont="1" applyFill="1" applyAlignment="1">
      <alignment horizontal="right" wrapText="1"/>
    </xf>
    <xf numFmtId="14" fontId="15" fillId="3" borderId="0" xfId="0" applyNumberFormat="1" applyFont="1" applyFill="1" applyAlignment="1">
      <alignment horizontal="right" wrapText="1"/>
    </xf>
    <xf numFmtId="165" fontId="15" fillId="3" borderId="0" xfId="0" applyNumberFormat="1" applyFont="1" applyFill="1" applyAlignment="1">
      <alignment horizontal="right" wrapText="1"/>
    </xf>
    <xf numFmtId="14" fontId="15" fillId="3" borderId="0" xfId="0" applyNumberFormat="1" applyFont="1" applyFill="1" applyAlignment="1">
      <alignment wrapText="1"/>
    </xf>
    <xf numFmtId="17" fontId="15" fillId="0" borderId="0" xfId="0" applyNumberFormat="1" applyFont="1" applyAlignment="1">
      <alignment wrapText="1"/>
    </xf>
    <xf numFmtId="17" fontId="19" fillId="0" borderId="0" xfId="0" applyNumberFormat="1" applyFont="1" applyAlignment="1">
      <alignment wrapText="1"/>
    </xf>
    <xf numFmtId="17" fontId="15" fillId="4" borderId="0" xfId="0" applyNumberFormat="1" applyFont="1" applyFill="1" applyAlignment="1">
      <alignment wrapText="1"/>
    </xf>
    <xf numFmtId="0" fontId="15" fillId="4" borderId="0" xfId="0" applyFont="1" applyFill="1" applyAlignment="1">
      <alignment wrapText="1"/>
    </xf>
    <xf numFmtId="164" fontId="15" fillId="4" borderId="0" xfId="0" applyNumberFormat="1" applyFont="1" applyFill="1" applyAlignment="1">
      <alignment horizontal="right" wrapText="1"/>
    </xf>
    <xf numFmtId="14" fontId="15" fillId="4" borderId="0" xfId="0" applyNumberFormat="1" applyFont="1" applyFill="1" applyAlignment="1">
      <alignment horizontal="right" wrapText="1"/>
    </xf>
    <xf numFmtId="165" fontId="15" fillId="4" borderId="0" xfId="0" applyNumberFormat="1" applyFont="1" applyFill="1" applyAlignment="1">
      <alignment horizontal="right" wrapText="1"/>
    </xf>
    <xf numFmtId="14" fontId="15" fillId="4" borderId="0" xfId="0" applyNumberFormat="1" applyFont="1" applyFill="1" applyAlignment="1">
      <alignment wrapText="1"/>
    </xf>
    <xf numFmtId="17" fontId="20" fillId="0" borderId="0" xfId="0" applyNumberFormat="1" applyFont="1" applyAlignment="1">
      <alignment wrapText="1"/>
    </xf>
    <xf numFmtId="17" fontId="21" fillId="0" borderId="0" xfId="0" applyNumberFormat="1" applyFont="1" applyAlignment="1">
      <alignment wrapText="1"/>
    </xf>
    <xf numFmtId="17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15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164" fontId="0" fillId="0" borderId="0" xfId="0" applyNumberFormat="1"/>
    <xf numFmtId="164" fontId="7" fillId="0" borderId="0" xfId="0" applyNumberFormat="1" applyFont="1"/>
    <xf numFmtId="0" fontId="25" fillId="0" borderId="0" xfId="0" applyFont="1"/>
    <xf numFmtId="42" fontId="7" fillId="0" borderId="0" xfId="0" applyNumberFormat="1" applyFont="1"/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wrapText="1"/>
    </xf>
    <xf numFmtId="14" fontId="15" fillId="0" borderId="0" xfId="0" applyNumberFormat="1" applyFont="1" applyAlignment="1">
      <alignment horizontal="left" wrapText="1"/>
    </xf>
    <xf numFmtId="0" fontId="0" fillId="2" borderId="0" xfId="0" applyFill="1" applyAlignment="1">
      <alignment wrapText="1"/>
    </xf>
    <xf numFmtId="8" fontId="15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166" fontId="7" fillId="0" borderId="0" xfId="0" applyNumberFormat="1" applyFont="1"/>
    <xf numFmtId="42" fontId="0" fillId="0" borderId="0" xfId="0" applyNumberFormat="1"/>
    <xf numFmtId="42" fontId="26" fillId="0" borderId="0" xfId="0" applyNumberFormat="1" applyFont="1"/>
    <xf numFmtId="42" fontId="26" fillId="0" borderId="2" xfId="0" applyNumberFormat="1" applyFont="1" applyBorder="1"/>
    <xf numFmtId="0" fontId="24" fillId="0" borderId="0" xfId="0" applyFont="1"/>
    <xf numFmtId="0" fontId="24" fillId="0" borderId="0" xfId="0" applyFont="1" applyAlignment="1">
      <alignment horizontal="center"/>
    </xf>
    <xf numFmtId="42" fontId="24" fillId="0" borderId="2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9" fontId="8" fillId="0" borderId="0" xfId="0" applyNumberFormat="1" applyFont="1" applyBorder="1" applyAlignment="1">
      <alignment horizontal="right" vertical="top" wrapText="1"/>
    </xf>
    <xf numFmtId="9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9" fontId="12" fillId="0" borderId="0" xfId="0" applyNumberFormat="1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vertical="top" wrapText="1"/>
    </xf>
    <xf numFmtId="9" fontId="12" fillId="0" borderId="2" xfId="0" applyNumberFormat="1" applyFont="1" applyBorder="1" applyAlignment="1">
      <alignment horizontal="right" vertical="top" wrapText="1"/>
    </xf>
    <xf numFmtId="9" fontId="12" fillId="0" borderId="2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7" fontId="16" fillId="0" borderId="0" xfId="0" applyNumberFormat="1" applyFont="1" applyAlignment="1">
      <alignment horizontal="left" wrapText="1"/>
    </xf>
    <xf numFmtId="42" fontId="26" fillId="0" borderId="0" xfId="0" applyNumberFormat="1" applyFont="1" applyBorder="1"/>
    <xf numFmtId="0" fontId="24" fillId="0" borderId="1" xfId="0" applyFont="1" applyBorder="1"/>
    <xf numFmtId="42" fontId="24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" fillId="0" borderId="0" xfId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1" fillId="0" borderId="0" xfId="1" applyNumberFormat="1" applyAlignment="1" applyProtection="1">
      <alignment wrapText="1"/>
    </xf>
    <xf numFmtId="43" fontId="4" fillId="0" borderId="0" xfId="0" applyNumberFormat="1" applyFont="1" applyAlignment="1">
      <alignment wrapText="1"/>
    </xf>
    <xf numFmtId="43" fontId="10" fillId="0" borderId="0" xfId="1" applyNumberFormat="1" applyFont="1" applyAlignment="1" applyProtection="1">
      <alignment wrapText="1"/>
    </xf>
    <xf numFmtId="43" fontId="5" fillId="0" borderId="0" xfId="0" applyNumberFormat="1" applyFont="1" applyAlignment="1">
      <alignment wrapText="1"/>
    </xf>
    <xf numFmtId="43" fontId="7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eureka.html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humboldt.html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lander.html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lincoln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lyon.html" TargetMode="External"/><Relationship Id="rId2" Type="http://schemas.openxmlformats.org/officeDocument/2006/relationships/hyperlink" Target="http://www.laborcommissioner.com/10rates/2010%20Amendments/2010Amendment2.htm" TargetMode="External"/><Relationship Id="rId1" Type="http://schemas.openxmlformats.org/officeDocument/2006/relationships/hyperlink" Target="http://www.laborcommissioner.com/10rates/2010%20Amendments/2010Amendment1.htm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mineral.html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nye.html" TargetMode="Externa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pershing.html" TargetMode="Externa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storey.html" TargetMode="Externa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washoe.html" TargetMode="Externa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whitepin.html" TargetMode="External"/><Relationship Id="rId4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carson.html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churchil.html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clark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douglas.htm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orcommissioner.com/10rates/2010%20Amendments/2010Amendment2.htm" TargetMode="External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elko.htm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laborcommissioner.com/10rates/2010%20Amendments/2010Amendment1.htm" TargetMode="External"/><Relationship Id="rId1" Type="http://schemas.openxmlformats.org/officeDocument/2006/relationships/hyperlink" Target="http://www.laborcommissioner.com/10rates/esmeral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opLeftCell="A15" workbookViewId="0">
      <selection activeCell="J22" sqref="J22"/>
    </sheetView>
  </sheetViews>
  <sheetFormatPr defaultRowHeight="12.75"/>
  <cols>
    <col min="1" max="1" width="11.7109375" customWidth="1"/>
    <col min="2" max="2" width="16" customWidth="1"/>
    <col min="3" max="3" width="1.28515625" customWidth="1"/>
    <col min="4" max="4" width="17" customWidth="1"/>
    <col min="5" max="5" width="1.5703125" customWidth="1"/>
    <col min="6" max="6" width="15.85546875" customWidth="1"/>
    <col min="7" max="7" width="1.5703125" customWidth="1"/>
    <col min="8" max="8" width="16.85546875" customWidth="1"/>
    <col min="9" max="9" width="2.140625" customWidth="1"/>
    <col min="10" max="10" width="15.7109375" customWidth="1"/>
    <col min="11" max="11" width="1.5703125" customWidth="1"/>
    <col min="12" max="12" width="17.140625" customWidth="1"/>
    <col min="13" max="13" width="16.5703125" customWidth="1"/>
  </cols>
  <sheetData>
    <row r="1" spans="1:13" ht="24" customHeight="1">
      <c r="A1" s="139" t="s">
        <v>5373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63" customHeight="1">
      <c r="B2" s="22" t="s">
        <v>5359</v>
      </c>
      <c r="C2" s="22"/>
      <c r="D2" s="39" t="s">
        <v>5360</v>
      </c>
      <c r="E2" s="22"/>
      <c r="F2" s="22" t="s">
        <v>5372</v>
      </c>
      <c r="G2" s="22"/>
      <c r="H2" s="22"/>
      <c r="I2" s="22"/>
      <c r="J2" s="22" t="s">
        <v>5369</v>
      </c>
      <c r="K2" s="22"/>
      <c r="L2" s="22" t="s">
        <v>5370</v>
      </c>
      <c r="M2" s="22" t="s">
        <v>5368</v>
      </c>
    </row>
    <row r="4" spans="1:13">
      <c r="A4" s="8" t="s">
        <v>4035</v>
      </c>
      <c r="B4" s="16">
        <f>Carson!$D$2</f>
        <v>8.3159854170989533E-2</v>
      </c>
      <c r="C4" s="16"/>
      <c r="D4" s="16">
        <f>Carson!$F$2</f>
        <v>6.5300503153916944E-2</v>
      </c>
      <c r="E4" s="16"/>
      <c r="F4" s="16">
        <f>Carson!$L$2</f>
        <v>0.65301120749015273</v>
      </c>
      <c r="G4" s="16"/>
      <c r="H4" s="16"/>
      <c r="I4" s="16"/>
      <c r="J4">
        <f>Carson!G240</f>
        <v>32</v>
      </c>
      <c r="K4" s="16"/>
      <c r="L4">
        <f>Carson!G241</f>
        <v>6</v>
      </c>
      <c r="M4">
        <f>SUM(J4:L4)</f>
        <v>38</v>
      </c>
    </row>
    <row r="5" spans="1:13">
      <c r="A5" s="8" t="s">
        <v>3497</v>
      </c>
      <c r="B5" s="16">
        <f>Churchill!$D$2</f>
        <v>3.0916238223214956E-2</v>
      </c>
      <c r="C5" s="16"/>
      <c r="D5" s="16">
        <f>Churchill!$F$2</f>
        <v>4.5598314459687372E-2</v>
      </c>
      <c r="E5" s="16"/>
      <c r="F5" s="16"/>
      <c r="G5" s="16"/>
      <c r="H5" s="16"/>
      <c r="I5" s="16"/>
      <c r="J5">
        <f>Churchill!G276</f>
        <v>27</v>
      </c>
      <c r="K5" s="16"/>
      <c r="L5">
        <f>Churchill!G277</f>
        <v>11</v>
      </c>
      <c r="M5">
        <f t="shared" ref="M5:M20" si="0">SUM(J5:L5)</f>
        <v>38</v>
      </c>
    </row>
    <row r="6" spans="1:13">
      <c r="A6" s="8" t="s">
        <v>3981</v>
      </c>
      <c r="B6" s="16">
        <f>Clark!$D$2</f>
        <v>2.3482313499241441E-2</v>
      </c>
      <c r="C6" s="16"/>
      <c r="D6" s="16">
        <f>Clark!$F$2</f>
        <v>6.2302739430370541E-2</v>
      </c>
      <c r="E6" s="16"/>
      <c r="F6" s="16">
        <f>Clark!$L$2</f>
        <v>0.45748031212956025</v>
      </c>
      <c r="G6" s="16"/>
      <c r="H6" s="16"/>
      <c r="I6" s="16"/>
      <c r="J6">
        <f>Clark!$F332</f>
        <v>34</v>
      </c>
      <c r="K6" s="16"/>
      <c r="L6">
        <f>Clark!$F333</f>
        <v>4</v>
      </c>
      <c r="M6">
        <f t="shared" si="0"/>
        <v>38</v>
      </c>
    </row>
    <row r="7" spans="1:13">
      <c r="A7" s="8" t="s">
        <v>3997</v>
      </c>
      <c r="B7" s="16">
        <f>Douglas!$D$2</f>
        <v>5.8539717648119279E-2</v>
      </c>
      <c r="C7" s="16"/>
      <c r="D7" s="16">
        <f>Douglas!$F$2</f>
        <v>5.9931524870924881E-2</v>
      </c>
      <c r="E7" s="16"/>
      <c r="F7" s="16">
        <f>Douglas!$L$2</f>
        <v>0.49191968382312706</v>
      </c>
      <c r="G7" s="16"/>
      <c r="H7" s="16"/>
      <c r="I7" s="16"/>
      <c r="J7">
        <f>Douglas!G239</f>
        <v>30</v>
      </c>
      <c r="K7" s="16"/>
      <c r="L7">
        <f>Douglas!G240</f>
        <v>8</v>
      </c>
      <c r="M7">
        <f t="shared" si="0"/>
        <v>38</v>
      </c>
    </row>
    <row r="8" spans="1:13">
      <c r="A8" s="8" t="s">
        <v>3479</v>
      </c>
      <c r="B8" s="16">
        <f>Elko!$D$2</f>
        <v>1.4070859401104221E-2</v>
      </c>
      <c r="C8" s="16"/>
      <c r="D8" s="16">
        <f>Elko!$F$2</f>
        <v>-2.5243430283436157E-2</v>
      </c>
      <c r="E8" s="16"/>
      <c r="F8" s="16">
        <f>Elko!$L$2</f>
        <v>0.4898119694861065</v>
      </c>
      <c r="G8" s="16"/>
      <c r="H8" s="16"/>
      <c r="I8" s="16"/>
      <c r="J8">
        <f>Elko!G290</f>
        <v>29</v>
      </c>
      <c r="K8" s="16"/>
      <c r="L8">
        <f>Elko!G291</f>
        <v>9</v>
      </c>
      <c r="M8">
        <f t="shared" si="0"/>
        <v>38</v>
      </c>
    </row>
    <row r="9" spans="1:13">
      <c r="A9" s="8" t="s">
        <v>3492</v>
      </c>
      <c r="B9" s="16">
        <f>Esmeralda!$D$2</f>
        <v>-2.4987542224633473E-2</v>
      </c>
      <c r="C9" s="16"/>
      <c r="D9" s="16">
        <f>Esmeralda!$F$2</f>
        <v>5.8984353764401733E-2</v>
      </c>
      <c r="E9" s="16"/>
      <c r="F9" s="16"/>
      <c r="G9" s="16"/>
      <c r="H9" s="16"/>
      <c r="I9" s="16"/>
      <c r="J9">
        <f>Esmeralda!G330</f>
        <v>30</v>
      </c>
      <c r="K9" s="16"/>
      <c r="L9">
        <f>Esmeralda!G331</f>
        <v>8</v>
      </c>
      <c r="M9">
        <f t="shared" si="0"/>
        <v>38</v>
      </c>
    </row>
    <row r="10" spans="1:13">
      <c r="A10" s="8" t="s">
        <v>3496</v>
      </c>
      <c r="B10" s="16">
        <f>Eureka!D2</f>
        <v>2.4833695866573343E-3</v>
      </c>
      <c r="C10" s="16"/>
      <c r="D10" s="16">
        <f>Eureka!F2</f>
        <v>2.638056153251923E-2</v>
      </c>
      <c r="E10" s="16"/>
      <c r="F10" s="16"/>
      <c r="G10" s="16"/>
      <c r="H10" s="16"/>
      <c r="I10" s="16"/>
      <c r="J10">
        <f>Eureka!G291</f>
        <v>27</v>
      </c>
      <c r="K10" s="16"/>
      <c r="L10">
        <f>Eureka!G292</f>
        <v>11</v>
      </c>
      <c r="M10">
        <f t="shared" si="0"/>
        <v>38</v>
      </c>
    </row>
    <row r="11" spans="1:13">
      <c r="A11" s="8" t="s">
        <v>3499</v>
      </c>
      <c r="B11" s="16">
        <f>Humboldt!$D$2</f>
        <v>5.8058938115155889E-2</v>
      </c>
      <c r="C11" s="16"/>
      <c r="D11" s="16">
        <f>Humboldt!$F$2</f>
        <v>3.4121052336784301E-2</v>
      </c>
      <c r="E11" s="16"/>
      <c r="F11" s="16"/>
      <c r="G11" s="16"/>
      <c r="H11" s="16"/>
      <c r="I11" s="16"/>
      <c r="J11">
        <f>Lander!G290</f>
        <v>28</v>
      </c>
      <c r="K11" s="16"/>
      <c r="L11">
        <f>Lander!G291</f>
        <v>10</v>
      </c>
      <c r="M11">
        <f t="shared" si="0"/>
        <v>38</v>
      </c>
    </row>
    <row r="12" spans="1:13">
      <c r="A12" s="8" t="s">
        <v>3498</v>
      </c>
      <c r="B12" s="16">
        <f>Lander!$D$2</f>
        <v>3.9650822965831695E-2</v>
      </c>
      <c r="C12" s="16"/>
      <c r="D12" s="16">
        <f>Lander!$F$2</f>
        <v>5.8512716629721987E-3</v>
      </c>
      <c r="E12" s="16"/>
      <c r="F12" s="16"/>
      <c r="G12" s="16"/>
      <c r="H12" s="16"/>
      <c r="I12" s="16"/>
      <c r="J12">
        <f>Humboldt!G271</f>
        <v>29</v>
      </c>
      <c r="K12" s="16"/>
      <c r="L12">
        <f>Humboldt!G272</f>
        <v>9</v>
      </c>
      <c r="M12">
        <f t="shared" si="0"/>
        <v>38</v>
      </c>
    </row>
    <row r="13" spans="1:13">
      <c r="A13" s="8" t="s">
        <v>4036</v>
      </c>
      <c r="B13" s="16">
        <f>Lincoln!$D$2</f>
        <v>6.6059561526123106E-2</v>
      </c>
      <c r="C13" s="16"/>
      <c r="D13" s="16">
        <f>Lincoln!$F$2</f>
        <v>4.7576321775982991E-2</v>
      </c>
      <c r="E13" s="16"/>
      <c r="F13" s="16"/>
      <c r="G13" s="16"/>
      <c r="H13" s="16"/>
      <c r="I13" s="16"/>
      <c r="J13">
        <f>Lincoln!G269</f>
        <v>34</v>
      </c>
      <c r="K13" s="16"/>
      <c r="L13">
        <f>Lincoln!G270</f>
        <v>4</v>
      </c>
      <c r="M13">
        <f t="shared" si="0"/>
        <v>38</v>
      </c>
    </row>
    <row r="14" spans="1:13">
      <c r="A14" s="8" t="s">
        <v>3483</v>
      </c>
      <c r="B14" s="16">
        <f>Lyon!$D$2</f>
        <v>8.5929651411997307E-2</v>
      </c>
      <c r="C14" s="16"/>
      <c r="D14" s="16">
        <f>Lyon!$F$2</f>
        <v>6.3646632874050618E-2</v>
      </c>
      <c r="E14" s="16"/>
      <c r="F14" s="16">
        <f>Lyon!$L$2</f>
        <v>0.42164658521827436</v>
      </c>
      <c r="G14" s="16"/>
      <c r="H14" s="16"/>
      <c r="I14" s="16"/>
      <c r="J14">
        <f>Lyon!G236</f>
        <v>29</v>
      </c>
      <c r="K14" s="16"/>
      <c r="L14">
        <f>Lyon!G237</f>
        <v>9</v>
      </c>
      <c r="M14">
        <f t="shared" si="0"/>
        <v>38</v>
      </c>
    </row>
    <row r="15" spans="1:13">
      <c r="A15" s="8" t="s">
        <v>3995</v>
      </c>
      <c r="B15" s="16">
        <f>Mineral!$D$2</f>
        <v>4.9853811221024613E-2</v>
      </c>
      <c r="C15" s="16"/>
      <c r="D15" s="16">
        <f>Mineral!$F$2</f>
        <v>4.1996164101812228E-2</v>
      </c>
      <c r="E15" s="16"/>
      <c r="F15" s="16"/>
      <c r="G15" s="16"/>
      <c r="H15" s="16"/>
      <c r="I15" s="16"/>
      <c r="J15">
        <f>Mineral!G238</f>
        <v>27</v>
      </c>
      <c r="K15" s="16"/>
      <c r="L15">
        <f>Mineral!G239</f>
        <v>11</v>
      </c>
      <c r="M15">
        <f t="shared" si="0"/>
        <v>38</v>
      </c>
    </row>
    <row r="16" spans="1:13">
      <c r="A16" s="8" t="s">
        <v>3487</v>
      </c>
      <c r="B16" s="16">
        <f>Nye!$D$2</f>
        <v>-4.2159300306625685E-3</v>
      </c>
      <c r="C16" s="16"/>
      <c r="D16" s="16">
        <f>Nye!$F$2</f>
        <v>3.608397509231908E-2</v>
      </c>
      <c r="E16" s="16"/>
      <c r="F16" s="16"/>
      <c r="G16" s="16"/>
      <c r="H16" s="16"/>
      <c r="I16" s="16"/>
      <c r="J16">
        <f>Nye!G316</f>
        <v>28</v>
      </c>
      <c r="K16" s="16"/>
      <c r="L16">
        <f>Nye!G317</f>
        <v>10</v>
      </c>
      <c r="M16">
        <f t="shared" si="0"/>
        <v>38</v>
      </c>
    </row>
    <row r="17" spans="1:13">
      <c r="A17" s="8" t="s">
        <v>3486</v>
      </c>
      <c r="B17" s="16">
        <f>Pershing!$D$2</f>
        <v>2.5077001286280584E-2</v>
      </c>
      <c r="C17" s="16"/>
      <c r="D17" s="16">
        <f>Pershing!$F$2</f>
        <v>4.1421435708127979E-2</v>
      </c>
      <c r="E17" s="16"/>
      <c r="F17" s="16"/>
      <c r="G17" s="16"/>
      <c r="H17" s="16"/>
      <c r="I17" s="16"/>
      <c r="J17">
        <f>Pershing!G292</f>
        <v>27</v>
      </c>
      <c r="K17" s="16"/>
      <c r="L17">
        <f>Pershing!G293</f>
        <v>11</v>
      </c>
      <c r="M17">
        <f t="shared" si="0"/>
        <v>38</v>
      </c>
    </row>
    <row r="18" spans="1:13">
      <c r="A18" s="8" t="s">
        <v>4006</v>
      </c>
      <c r="B18" s="16">
        <f>Storey!$D$2</f>
        <v>2.5692183761340557E-2</v>
      </c>
      <c r="C18" s="16"/>
      <c r="D18" s="16">
        <f>Storey!$F$2</f>
        <v>4.1013401244310674E-2</v>
      </c>
      <c r="E18" s="16"/>
      <c r="F18" s="16"/>
      <c r="G18" s="16"/>
      <c r="H18" s="16"/>
      <c r="I18" s="16"/>
      <c r="J18">
        <f>Storey!G295</f>
        <v>28</v>
      </c>
      <c r="K18" s="16"/>
      <c r="L18">
        <f>Storey!G296</f>
        <v>10</v>
      </c>
      <c r="M18">
        <f t="shared" si="0"/>
        <v>38</v>
      </c>
    </row>
    <row r="19" spans="1:13">
      <c r="A19" s="8" t="s">
        <v>3480</v>
      </c>
      <c r="B19" s="16">
        <f>Washoe!$D$2</f>
        <v>-2.0165044442916436E-2</v>
      </c>
      <c r="C19" s="16"/>
      <c r="D19" s="16">
        <f>Washoe!$F$2</f>
        <v>5.9675767555711676E-2</v>
      </c>
      <c r="E19" s="16"/>
      <c r="F19" s="16">
        <f>Washoe!$L$2</f>
        <v>0.15244665655456494</v>
      </c>
      <c r="G19" s="16"/>
      <c r="H19" s="16"/>
      <c r="I19" s="16"/>
      <c r="J19">
        <f>Washoe!G295</f>
        <v>29</v>
      </c>
      <c r="K19" s="16"/>
      <c r="L19">
        <f>Washoe!G296</f>
        <v>9</v>
      </c>
      <c r="M19">
        <f t="shared" si="0"/>
        <v>38</v>
      </c>
    </row>
    <row r="20" spans="1:13">
      <c r="A20" s="8" t="s">
        <v>3996</v>
      </c>
      <c r="B20" s="67">
        <f>'White Pine'!D2</f>
        <v>-7.8248950135019184E-3</v>
      </c>
      <c r="C20" s="68"/>
      <c r="D20" s="67">
        <f>'White Pine'!F2</f>
        <v>-7.6544914172272851E-3</v>
      </c>
      <c r="E20" s="68"/>
      <c r="F20" s="67"/>
      <c r="G20" s="68"/>
      <c r="H20" s="68"/>
      <c r="I20" s="68"/>
      <c r="J20" s="66">
        <f>'White Pine'!G249</f>
        <v>28</v>
      </c>
      <c r="K20" s="68"/>
      <c r="L20" s="66">
        <f>'White Pine'!G250</f>
        <v>10</v>
      </c>
      <c r="M20">
        <f t="shared" si="0"/>
        <v>38</v>
      </c>
    </row>
    <row r="21" spans="1:13">
      <c r="J21" s="69">
        <f>AVERAGE(J4:J20)</f>
        <v>29.176470588235293</v>
      </c>
      <c r="K21" s="69"/>
      <c r="L21" s="69">
        <f>AVERAGE(L4:L20)</f>
        <v>8.8235294117647065</v>
      </c>
    </row>
    <row r="22" spans="1:13">
      <c r="A22" s="8" t="s">
        <v>3985</v>
      </c>
      <c r="B22" s="43">
        <f>AVERAGE(B4:B20)</f>
        <v>2.9751818300315657E-2</v>
      </c>
      <c r="C22" s="43"/>
      <c r="D22" s="43">
        <f t="shared" ref="D22:F22" si="1">AVERAGE(D4:D20)</f>
        <v>3.8646241050778171E-2</v>
      </c>
      <c r="E22" s="43"/>
      <c r="F22" s="43"/>
      <c r="G22" s="43"/>
      <c r="H22" s="43"/>
      <c r="I22" s="43"/>
      <c r="J22" s="43">
        <f>J21/M20</f>
        <v>0.7678018575851393</v>
      </c>
      <c r="K22" s="43"/>
      <c r="L22" s="43">
        <f>L21/M20</f>
        <v>0.2321981424148607</v>
      </c>
    </row>
    <row r="23" spans="1:13">
      <c r="A23" s="8"/>
      <c r="B23" s="43"/>
      <c r="C23" s="43"/>
      <c r="D23" s="43"/>
      <c r="E23" s="43"/>
      <c r="F23" s="43" t="s">
        <v>4014</v>
      </c>
      <c r="G23" s="43"/>
      <c r="H23" s="43"/>
      <c r="I23" s="43"/>
      <c r="J23" s="70"/>
      <c r="K23" s="70"/>
      <c r="L23" s="70"/>
    </row>
    <row r="24" spans="1:13">
      <c r="A24" s="8"/>
      <c r="B24" s="43"/>
      <c r="C24" s="43"/>
      <c r="D24" s="43"/>
      <c r="E24" s="43"/>
      <c r="F24" s="43">
        <f>AVERAGE(F19,F14,F8,F7,F4)</f>
        <v>0.44176722051444511</v>
      </c>
      <c r="G24" s="43"/>
      <c r="H24" s="43"/>
      <c r="I24" s="43"/>
      <c r="J24" s="70"/>
      <c r="K24" s="70"/>
      <c r="L24" s="70"/>
    </row>
    <row r="25" spans="1:13">
      <c r="A25" s="8"/>
      <c r="B25" s="43"/>
      <c r="C25" s="43"/>
      <c r="D25" s="43"/>
      <c r="E25" s="43"/>
      <c r="F25" s="43" t="s">
        <v>4015</v>
      </c>
      <c r="G25" s="43"/>
      <c r="H25" s="43"/>
      <c r="I25" s="43"/>
      <c r="J25" s="70"/>
      <c r="K25" s="70"/>
      <c r="L25" s="70"/>
    </row>
    <row r="26" spans="1:13">
      <c r="A26" s="8"/>
      <c r="B26" s="43"/>
      <c r="C26" s="43"/>
      <c r="D26" s="43"/>
      <c r="E26" s="43"/>
      <c r="F26" s="43">
        <f>F6</f>
        <v>0.45748031212956025</v>
      </c>
      <c r="G26" s="43"/>
      <c r="H26" s="43"/>
      <c r="I26" s="43"/>
      <c r="J26" s="70"/>
      <c r="K26" s="70"/>
      <c r="L26" s="70"/>
    </row>
    <row r="27" spans="1:13">
      <c r="A27" s="8"/>
      <c r="B27" s="43"/>
      <c r="C27" s="43"/>
      <c r="D27" s="43"/>
      <c r="E27" s="43"/>
      <c r="F27" s="43"/>
      <c r="G27" s="43"/>
      <c r="H27" s="43"/>
      <c r="I27" s="43"/>
      <c r="J27" s="70"/>
      <c r="K27" s="70"/>
      <c r="L27" s="70"/>
    </row>
    <row r="28" spans="1:13">
      <c r="A28" s="138" t="s">
        <v>5377</v>
      </c>
      <c r="B28" s="138"/>
      <c r="C28" s="138"/>
      <c r="D28" s="138"/>
      <c r="E28" s="138"/>
      <c r="F28" s="138"/>
    </row>
    <row r="29" spans="1:13">
      <c r="A29" s="23">
        <v>2009</v>
      </c>
      <c r="B29" s="114"/>
      <c r="D29" s="114"/>
      <c r="F29" s="114">
        <f>'Public Works Projects'!$B$10-('Public Works Projects'!B10/('Counties Summary'!F26+1))</f>
        <v>539325276.60253143</v>
      </c>
    </row>
    <row r="30" spans="1:13">
      <c r="A30" s="23">
        <v>2010</v>
      </c>
      <c r="B30" s="114"/>
      <c r="D30" s="114"/>
      <c r="F30" s="114">
        <f>'Public Works Projects'!$D$10-('Public Works Projects'!D10/('Counties Summary'!F26+1))</f>
        <v>246656963.2910254</v>
      </c>
    </row>
    <row r="31" spans="1:13">
      <c r="A31" s="47" t="s">
        <v>3985</v>
      </c>
      <c r="B31" s="114"/>
      <c r="D31" s="114"/>
      <c r="F31" s="114">
        <f>SUM(F29:F30)</f>
        <v>785982239.89355683</v>
      </c>
    </row>
    <row r="33" spans="1:12">
      <c r="B33" s="105"/>
      <c r="C33" s="105"/>
      <c r="D33" s="105"/>
    </row>
    <row r="35" spans="1:12">
      <c r="A35" s="138" t="s">
        <v>5378</v>
      </c>
      <c r="B35" s="138"/>
      <c r="C35" s="138"/>
      <c r="D35" s="138"/>
      <c r="E35" s="138"/>
      <c r="F35" s="138"/>
      <c r="L35" s="114"/>
    </row>
    <row r="36" spans="1:12">
      <c r="A36" s="23">
        <v>2009</v>
      </c>
      <c r="B36" s="114"/>
      <c r="D36" s="114"/>
      <c r="F36" s="114">
        <f>'Public Works Projects'!B19-('Public Works Projects'!B19/('Counties Summary'!F24+1))</f>
        <v>86052753.655478686</v>
      </c>
    </row>
    <row r="37" spans="1:12">
      <c r="A37" s="23">
        <v>2010</v>
      </c>
      <c r="B37" s="114"/>
      <c r="D37" s="114"/>
      <c r="F37" s="114">
        <f>'Public Works Projects'!D19-('Public Works Projects'!D19/('Counties Summary'!F24+1))</f>
        <v>99663603.448873192</v>
      </c>
    </row>
    <row r="38" spans="1:12">
      <c r="A38" s="47" t="s">
        <v>3985</v>
      </c>
      <c r="B38" s="114"/>
      <c r="D38" s="114"/>
      <c r="F38" s="114">
        <f>SUM(F36:F37)</f>
        <v>185716357.10435188</v>
      </c>
    </row>
    <row r="39" spans="1:12">
      <c r="B39" s="114"/>
      <c r="D39" s="114"/>
      <c r="F39" s="114"/>
    </row>
    <row r="40" spans="1:12" ht="26.25" customHeight="1">
      <c r="A40" s="22" t="s">
        <v>3985</v>
      </c>
      <c r="B40" s="114"/>
      <c r="C40" s="114">
        <f t="shared" ref="C40:E40" si="2">C31+C38</f>
        <v>0</v>
      </c>
      <c r="D40" s="114"/>
      <c r="E40" s="114">
        <f t="shared" si="2"/>
        <v>0</v>
      </c>
      <c r="F40" s="106"/>
    </row>
    <row r="41" spans="1:12">
      <c r="A41">
        <v>2009</v>
      </c>
      <c r="F41" s="114">
        <f>F29+F36</f>
        <v>625378030.25801015</v>
      </c>
    </row>
    <row r="42" spans="1:12">
      <c r="A42">
        <v>2010</v>
      </c>
      <c r="F42" s="114">
        <f>F30+F37</f>
        <v>346320566.73989856</v>
      </c>
    </row>
    <row r="43" spans="1:12">
      <c r="A43" t="s">
        <v>3985</v>
      </c>
      <c r="F43" s="114">
        <f>F41+F42</f>
        <v>971698596.99790871</v>
      </c>
    </row>
    <row r="44" spans="1:12">
      <c r="A44" s="105" t="s">
        <v>5358</v>
      </c>
      <c r="F44" s="114"/>
    </row>
    <row r="45" spans="1:12">
      <c r="A45" s="105" t="s">
        <v>1089</v>
      </c>
    </row>
  </sheetData>
  <mergeCells count="3">
    <mergeCell ref="A28:F28"/>
    <mergeCell ref="A1:M1"/>
    <mergeCell ref="A35:F35"/>
  </mergeCells>
  <phoneticPr fontId="2" type="noConversion"/>
  <pageMargins left="0.75" right="0.75" top="0.75" bottom="0.75" header="0.5" footer="0.5"/>
  <pageSetup orientation="landscape" r:id="rId1"/>
  <headerFooter alignWithMargins="0"/>
  <ignoredErrors>
    <ignoredError sqref="B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3"/>
  <sheetViews>
    <sheetView workbookViewId="0">
      <selection activeCell="M1" sqref="M1:M1048576"/>
    </sheetView>
  </sheetViews>
  <sheetFormatPr defaultRowHeight="12.75"/>
  <cols>
    <col min="1" max="1" width="32.7109375" customWidth="1"/>
    <col min="2" max="3" width="9.140625" style="9"/>
    <col min="4" max="4" width="13.140625" customWidth="1"/>
    <col min="6" max="6" width="19.85546875" customWidth="1"/>
    <col min="8" max="8" width="10" customWidth="1"/>
    <col min="9" max="9" width="11" customWidth="1"/>
    <col min="11" max="11" width="17.28515625" customWidth="1"/>
    <col min="12" max="12" width="12.42578125" customWidth="1"/>
  </cols>
  <sheetData>
    <row r="1" spans="1:12" ht="54" customHeight="1">
      <c r="A1" s="48" t="s">
        <v>3999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0"/>
      <c r="C2" s="20"/>
      <c r="D2" s="21">
        <f>AVERAGE(D4:D328)</f>
        <v>2.4833695866573343E-3</v>
      </c>
      <c r="F2" s="21">
        <f>AVERAGE(F4:F328)</f>
        <v>2.638056153251923E-2</v>
      </c>
      <c r="H2" s="21">
        <f>AVERAGE(H4:H328)</f>
        <v>2.6760516202587379E-2</v>
      </c>
      <c r="I2" s="21">
        <f>AVERAGE(I4:I328)</f>
        <v>-6.3410686623785517E-2</v>
      </c>
    </row>
    <row r="3" spans="1:12">
      <c r="A3" s="58"/>
      <c r="B3" s="59"/>
      <c r="C3" s="59"/>
      <c r="D3" s="60"/>
      <c r="F3" s="60"/>
      <c r="H3" s="60"/>
    </row>
    <row r="4" spans="1:12" ht="63.75">
      <c r="A4" s="2" t="s">
        <v>3500</v>
      </c>
      <c r="B4" s="12" t="s">
        <v>3978</v>
      </c>
      <c r="C4" s="44" t="s">
        <v>3479</v>
      </c>
      <c r="D4" s="8"/>
      <c r="E4" s="44"/>
      <c r="F4" s="43"/>
      <c r="G4" s="23" t="s">
        <v>3983</v>
      </c>
      <c r="H4" s="43">
        <f>AVERAGE(F5:F7)</f>
        <v>0.45080349591203839</v>
      </c>
      <c r="I4" s="43"/>
      <c r="J4" s="8"/>
      <c r="K4" s="8"/>
      <c r="L4" s="43"/>
    </row>
    <row r="5" spans="1:12">
      <c r="A5" s="1" t="s">
        <v>3502</v>
      </c>
      <c r="B5" s="7">
        <v>58.52</v>
      </c>
      <c r="C5" s="7">
        <v>48.35</v>
      </c>
      <c r="D5" s="16">
        <f>(C5-B5)/B5</f>
        <v>-0.17378673957621327</v>
      </c>
      <c r="E5" s="9">
        <v>35.47</v>
      </c>
      <c r="F5" s="16">
        <f>(C5-E5)/E5</f>
        <v>0.36312376656329298</v>
      </c>
      <c r="G5" s="40"/>
      <c r="H5" s="16"/>
      <c r="I5" s="16"/>
      <c r="L5" s="16"/>
    </row>
    <row r="6" spans="1:12">
      <c r="A6" s="1" t="s">
        <v>3503</v>
      </c>
      <c r="B6" s="7">
        <v>62.95</v>
      </c>
      <c r="C6" s="7">
        <v>51.46</v>
      </c>
      <c r="D6" s="16">
        <f>(C6-B6)/B6</f>
        <v>-0.18252581413820496</v>
      </c>
      <c r="E6" s="9">
        <v>35.47</v>
      </c>
      <c r="F6" s="16">
        <f>(C6-E6)/E6</f>
        <v>0.45080349591203839</v>
      </c>
      <c r="G6" s="40"/>
      <c r="H6" s="16"/>
      <c r="I6" s="16"/>
      <c r="L6" s="16"/>
    </row>
    <row r="7" spans="1:12">
      <c r="A7" s="1" t="s">
        <v>3504</v>
      </c>
      <c r="B7" s="7">
        <v>67.37</v>
      </c>
      <c r="C7" s="7">
        <v>54.57</v>
      </c>
      <c r="D7" s="16">
        <f>(C7-B7)/B7</f>
        <v>-0.18999554697936771</v>
      </c>
      <c r="E7" s="9">
        <v>35.47</v>
      </c>
      <c r="F7" s="16">
        <f>(C7-E7)/E7</f>
        <v>0.53848322526078385</v>
      </c>
      <c r="G7" s="40"/>
      <c r="H7" s="16"/>
      <c r="I7" s="16"/>
      <c r="L7" s="16"/>
    </row>
    <row r="8" spans="1:12">
      <c r="A8" s="143"/>
      <c r="B8" s="143"/>
      <c r="C8" s="7"/>
      <c r="D8" s="16"/>
      <c r="E8" s="9"/>
      <c r="F8" s="16"/>
      <c r="G8" s="40"/>
      <c r="H8" s="16"/>
      <c r="I8" s="16"/>
      <c r="L8" s="16"/>
    </row>
    <row r="9" spans="1:12">
      <c r="A9" s="2" t="s">
        <v>3505</v>
      </c>
      <c r="B9" s="7"/>
      <c r="C9" s="44" t="s">
        <v>3479</v>
      </c>
      <c r="D9" s="43"/>
      <c r="E9" s="44"/>
      <c r="F9" s="43"/>
      <c r="G9" s="23" t="s">
        <v>3983</v>
      </c>
      <c r="H9" s="43">
        <f>AVERAGE(F10:F12)</f>
        <v>0</v>
      </c>
      <c r="I9" s="43"/>
      <c r="J9" s="8"/>
      <c r="K9" s="8"/>
      <c r="L9" s="43"/>
    </row>
    <row r="10" spans="1:12">
      <c r="A10" s="1" t="s">
        <v>3903</v>
      </c>
      <c r="B10" s="7">
        <v>30.88</v>
      </c>
      <c r="C10" s="7">
        <v>31.61</v>
      </c>
      <c r="D10" s="16">
        <f>(C10-B10)/B10</f>
        <v>2.3639896373057009E-2</v>
      </c>
      <c r="E10" s="9">
        <v>31.61</v>
      </c>
      <c r="F10" s="16">
        <f>(C10-E10)/E10</f>
        <v>0</v>
      </c>
      <c r="G10" s="40"/>
      <c r="H10" s="16"/>
      <c r="I10" s="16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L11" s="16"/>
    </row>
    <row r="12" spans="1:12">
      <c r="A12" s="2" t="s">
        <v>3507</v>
      </c>
      <c r="B12" s="11" t="s">
        <v>3534</v>
      </c>
      <c r="C12" s="44" t="s">
        <v>3981</v>
      </c>
      <c r="D12" s="43"/>
      <c r="E12" s="44"/>
      <c r="F12" s="43"/>
      <c r="G12" s="23" t="s">
        <v>3983</v>
      </c>
      <c r="H12" s="43">
        <f>AVERAGE(F13:F15)</f>
        <v>1.8693032596941044E-2</v>
      </c>
      <c r="I12" s="43"/>
      <c r="J12" s="8"/>
      <c r="K12" s="8"/>
      <c r="L12" s="43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L13" s="16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H14" s="16"/>
      <c r="I14" s="16"/>
      <c r="L14" s="16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G15" s="40"/>
      <c r="H15" s="16"/>
      <c r="I15" s="16"/>
      <c r="L15" s="16"/>
    </row>
    <row r="16" spans="1:12">
      <c r="A16" s="1"/>
      <c r="B16" s="7"/>
      <c r="C16" s="7"/>
      <c r="D16" s="16"/>
      <c r="E16" s="9"/>
      <c r="F16" s="16"/>
      <c r="G16" s="40"/>
      <c r="H16" s="16"/>
      <c r="I16" s="16"/>
      <c r="L16" s="16"/>
    </row>
    <row r="17" spans="1:12" ht="38.25">
      <c r="A17" s="2" t="s">
        <v>3509</v>
      </c>
      <c r="B17" s="12" t="s">
        <v>3937</v>
      </c>
      <c r="C17" s="12" t="s">
        <v>3937</v>
      </c>
      <c r="D17" s="43"/>
      <c r="E17" s="44"/>
      <c r="F17" s="43"/>
      <c r="G17" s="23" t="s">
        <v>3983</v>
      </c>
      <c r="H17" s="43">
        <f>AVERAGE(F18:F20)</f>
        <v>-0.28065155183799251</v>
      </c>
      <c r="I17" s="43"/>
      <c r="J17" s="8"/>
      <c r="K17" s="8"/>
      <c r="L17" s="43"/>
    </row>
    <row r="18" spans="1:12">
      <c r="A18" s="1" t="s">
        <v>3904</v>
      </c>
      <c r="B18" s="7">
        <v>32.68</v>
      </c>
      <c r="C18" s="7">
        <v>32.68</v>
      </c>
      <c r="D18" s="16">
        <f>(C18-B18)/B18</f>
        <v>0</v>
      </c>
      <c r="E18" s="9">
        <v>45.43</v>
      </c>
      <c r="F18" s="16">
        <f>(C18-E18)/E18</f>
        <v>-0.28065155183799251</v>
      </c>
      <c r="G18" s="40"/>
      <c r="H18" s="16"/>
      <c r="I18" s="16"/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AVERAGE(F21:F22)</f>
        <v>4.89556135770235E-2</v>
      </c>
      <c r="I20" s="43"/>
      <c r="J20" s="8"/>
      <c r="K20" s="8"/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38.299999999999997</v>
      </c>
      <c r="F21" s="16">
        <f>(C21-E21)/E21</f>
        <v>1.3054830287206267E-2</v>
      </c>
      <c r="G21" s="40"/>
      <c r="H21" s="16"/>
      <c r="I21" s="16"/>
      <c r="L21" s="16"/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38.299999999999997</v>
      </c>
      <c r="F22" s="16">
        <f>(C22-E22)/E22</f>
        <v>8.4856396866840739E-2</v>
      </c>
      <c r="G22" s="40"/>
      <c r="H22" s="16"/>
      <c r="I22" s="16"/>
      <c r="L22" s="16"/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L23" s="16"/>
    </row>
    <row r="24" spans="1:12">
      <c r="A24" s="2" t="s">
        <v>3517</v>
      </c>
      <c r="B24" s="7"/>
      <c r="C24" s="31"/>
      <c r="D24" s="43"/>
      <c r="E24" s="44"/>
      <c r="F24" s="43"/>
      <c r="G24" s="23" t="s">
        <v>3983</v>
      </c>
      <c r="H24" s="43">
        <f>AVERAGE(F25:F26)</f>
        <v>2.9069767441860465E-2</v>
      </c>
      <c r="I24" s="43"/>
      <c r="J24" s="8"/>
      <c r="K24" s="8"/>
      <c r="L24" s="43"/>
    </row>
    <row r="25" spans="1:12">
      <c r="A25" s="1" t="s">
        <v>3521</v>
      </c>
      <c r="B25" s="7">
        <v>34.4</v>
      </c>
      <c r="C25" s="7">
        <v>34.4</v>
      </c>
      <c r="D25" s="16">
        <f>(C25-B25)/B25</f>
        <v>0</v>
      </c>
      <c r="E25" s="9">
        <v>34.4</v>
      </c>
      <c r="F25" s="16">
        <f>(C25-E25)/E25</f>
        <v>0</v>
      </c>
      <c r="G25" s="40"/>
      <c r="H25" s="16"/>
      <c r="I25" s="16"/>
      <c r="L25" s="16"/>
    </row>
    <row r="26" spans="1:12">
      <c r="A26" s="1" t="s">
        <v>3522</v>
      </c>
      <c r="B26" s="7">
        <v>36.4</v>
      </c>
      <c r="C26" s="7">
        <v>36.4</v>
      </c>
      <c r="D26" s="16">
        <f>(C26-B26)/B26</f>
        <v>0</v>
      </c>
      <c r="E26" s="9">
        <v>34.4</v>
      </c>
      <c r="F26" s="16">
        <f>(C26-E26)/E26</f>
        <v>5.8139534883720929E-2</v>
      </c>
      <c r="G26" s="40"/>
      <c r="H26" s="16"/>
      <c r="I26" s="16"/>
      <c r="L26" s="16"/>
    </row>
    <row r="27" spans="1:12">
      <c r="A27" s="143"/>
      <c r="B27" s="143"/>
      <c r="C27" s="7"/>
      <c r="D27" s="16"/>
      <c r="E27" s="9"/>
      <c r="F27" s="16"/>
      <c r="G27" s="40"/>
      <c r="H27" s="16"/>
      <c r="I27" s="16"/>
      <c r="L27" s="16"/>
    </row>
    <row r="28" spans="1:12" ht="25.5">
      <c r="A28" s="2" t="s">
        <v>3676</v>
      </c>
      <c r="B28" s="7"/>
      <c r="C28" s="31" t="s">
        <v>3996</v>
      </c>
      <c r="D28" s="43"/>
      <c r="E28" s="44"/>
      <c r="F28" s="43"/>
      <c r="G28" s="23" t="s">
        <v>3984</v>
      </c>
      <c r="H28" s="43"/>
      <c r="I28" s="43">
        <f>AVERAGE(F29)</f>
        <v>0</v>
      </c>
      <c r="J28" s="8"/>
      <c r="K28" s="8"/>
      <c r="L28" s="43"/>
    </row>
    <row r="29" spans="1:12">
      <c r="A29" s="1" t="s">
        <v>3938</v>
      </c>
      <c r="B29" s="7">
        <v>27.97</v>
      </c>
      <c r="C29" s="7">
        <v>17.489999999999998</v>
      </c>
      <c r="D29" s="16">
        <f>(C29-B29)/B29</f>
        <v>-0.37468716481944941</v>
      </c>
      <c r="E29" s="9">
        <v>17.489999999999998</v>
      </c>
      <c r="F29" s="16">
        <f>(C29-E29)/E29</f>
        <v>0</v>
      </c>
      <c r="G29" s="40"/>
      <c r="H29" s="16"/>
      <c r="I29" s="16"/>
      <c r="L29" s="16"/>
    </row>
    <row r="30" spans="1:12">
      <c r="A30" s="1"/>
      <c r="B30" s="7"/>
      <c r="C30" s="7"/>
      <c r="D30" s="16"/>
      <c r="E30" s="9"/>
      <c r="F30" s="16"/>
      <c r="G30" s="40"/>
      <c r="H30" s="16"/>
      <c r="I30" s="16"/>
      <c r="L30" s="16"/>
    </row>
    <row r="31" spans="1:12" ht="25.5">
      <c r="A31" s="2" t="s">
        <v>3527</v>
      </c>
      <c r="B31" s="11" t="s">
        <v>3534</v>
      </c>
      <c r="C31" s="31" t="s">
        <v>3996</v>
      </c>
      <c r="D31" s="43"/>
      <c r="E31" s="44"/>
      <c r="F31" s="43"/>
      <c r="G31" s="23" t="s">
        <v>3983</v>
      </c>
      <c r="H31" s="43">
        <f>AVERAGE(F32:F36)</f>
        <v>-2.2260273972602725E-2</v>
      </c>
      <c r="I31" s="43"/>
      <c r="J31" s="8"/>
      <c r="K31" s="8"/>
      <c r="L31" s="43"/>
    </row>
    <row r="32" spans="1:12">
      <c r="A32" s="1" t="s">
        <v>3764</v>
      </c>
      <c r="B32" s="7">
        <v>39.19</v>
      </c>
      <c r="C32" s="7">
        <v>40.5</v>
      </c>
      <c r="D32" s="16">
        <f>(C32-B32)/B32</f>
        <v>3.3426894615973521E-2</v>
      </c>
      <c r="E32" s="9">
        <v>58.4</v>
      </c>
      <c r="F32" s="16">
        <f>(C32-E32)/E32</f>
        <v>-0.3065068493150685</v>
      </c>
      <c r="G32" s="40"/>
      <c r="H32" s="16"/>
      <c r="I32" s="16"/>
      <c r="L32" s="16"/>
    </row>
    <row r="33" spans="1:12">
      <c r="A33" s="1" t="s">
        <v>3765</v>
      </c>
      <c r="B33" s="7">
        <v>57.91</v>
      </c>
      <c r="C33" s="7">
        <v>59.9</v>
      </c>
      <c r="D33" s="16">
        <f>(C33-B33)/B33</f>
        <v>3.4363667760317768E-2</v>
      </c>
      <c r="E33" s="9">
        <v>58.4</v>
      </c>
      <c r="F33" s="16">
        <f>(C33-E33)/E33</f>
        <v>2.5684931506849317E-2</v>
      </c>
      <c r="G33" s="40"/>
      <c r="H33" s="16"/>
      <c r="I33" s="16"/>
      <c r="L33" s="16"/>
    </row>
    <row r="34" spans="1:12">
      <c r="A34" s="1" t="s">
        <v>3601</v>
      </c>
      <c r="B34" s="7">
        <v>63.02</v>
      </c>
      <c r="C34" s="7">
        <v>65.16</v>
      </c>
      <c r="D34" s="16">
        <f>(C34-B34)/B34</f>
        <v>3.3957473817835503E-2</v>
      </c>
      <c r="E34" s="9">
        <v>58.4</v>
      </c>
      <c r="F34" s="16">
        <f>(C34-E34)/E34</f>
        <v>0.11575342465753422</v>
      </c>
      <c r="G34" s="40"/>
      <c r="H34" s="16"/>
      <c r="I34" s="16"/>
      <c r="L34" s="16"/>
    </row>
    <row r="35" spans="1:12">
      <c r="A35" s="1" t="s">
        <v>3766</v>
      </c>
      <c r="B35" s="7">
        <v>68.12</v>
      </c>
      <c r="C35" s="7">
        <v>70.45</v>
      </c>
      <c r="D35" s="16">
        <f>(C35-B35)/B35</f>
        <v>3.4204345273047533E-2</v>
      </c>
      <c r="E35" s="9">
        <v>58.4</v>
      </c>
      <c r="F35" s="16">
        <f>(C35-E35)/E35</f>
        <v>0.20633561643835624</v>
      </c>
      <c r="G35" s="40"/>
      <c r="H35" s="16"/>
      <c r="I35" s="16"/>
      <c r="L35" s="16"/>
    </row>
    <row r="36" spans="1:12">
      <c r="A36" s="1" t="s">
        <v>3532</v>
      </c>
      <c r="B36" s="7">
        <v>47.86</v>
      </c>
      <c r="C36" s="7">
        <v>49.49</v>
      </c>
      <c r="D36" s="16">
        <f>(C36-B36)/B36</f>
        <v>3.4057668198913552E-2</v>
      </c>
      <c r="E36" s="9">
        <v>58.4</v>
      </c>
      <c r="F36" s="16">
        <f>(C36-E36)/E36</f>
        <v>-0.15256849315068488</v>
      </c>
      <c r="G36" s="40"/>
      <c r="H36" s="16"/>
      <c r="I36" s="16"/>
      <c r="L36" s="16"/>
    </row>
    <row r="37" spans="1:12">
      <c r="A37" s="1"/>
      <c r="B37" s="7"/>
      <c r="C37" s="7"/>
      <c r="D37" s="16"/>
      <c r="E37" s="9"/>
      <c r="F37" s="16"/>
      <c r="G37" s="40"/>
      <c r="H37" s="16"/>
      <c r="I37" s="16"/>
      <c r="L37" s="16"/>
    </row>
    <row r="38" spans="1:12">
      <c r="A38" s="2" t="s">
        <v>3533</v>
      </c>
      <c r="B38" s="7"/>
      <c r="C38" s="31" t="s">
        <v>3981</v>
      </c>
      <c r="D38" s="43"/>
      <c r="E38" s="44"/>
      <c r="F38" s="43"/>
      <c r="G38" s="23" t="s">
        <v>3983</v>
      </c>
      <c r="H38" s="43">
        <f>AVERAGE(F39)</f>
        <v>5.7445868316395301E-3</v>
      </c>
      <c r="I38" s="43"/>
      <c r="J38" s="8"/>
      <c r="K38" s="8"/>
      <c r="L38" s="43"/>
    </row>
    <row r="39" spans="1:12">
      <c r="A39" s="1" t="s">
        <v>3535</v>
      </c>
      <c r="B39" s="7">
        <v>44.31</v>
      </c>
      <c r="C39" s="7">
        <v>45.52</v>
      </c>
      <c r="D39" s="16">
        <f>(C39-B39)/B39</f>
        <v>2.7307605506657655E-2</v>
      </c>
      <c r="E39" s="9">
        <v>45.26</v>
      </c>
      <c r="F39" s="16">
        <f>(C39-E39)/E39</f>
        <v>5.7445868316395301E-3</v>
      </c>
      <c r="G39" s="40"/>
      <c r="H39" s="16"/>
      <c r="I39" s="16"/>
      <c r="L39" s="16"/>
    </row>
    <row r="40" spans="1:12">
      <c r="A40" s="1"/>
      <c r="B40" s="7"/>
      <c r="C40" s="7"/>
      <c r="D40" s="16"/>
      <c r="E40" s="9"/>
      <c r="F40" s="16"/>
      <c r="G40" s="40"/>
      <c r="H40" s="16"/>
      <c r="I40" s="16"/>
      <c r="L40" s="16"/>
    </row>
    <row r="41" spans="1:12">
      <c r="A41" s="2" t="s">
        <v>3536</v>
      </c>
      <c r="B41" s="11" t="s">
        <v>3534</v>
      </c>
      <c r="C41" s="33" t="s">
        <v>3534</v>
      </c>
      <c r="D41" s="43"/>
      <c r="E41" s="44"/>
      <c r="F41" s="43"/>
      <c r="G41" s="23" t="s">
        <v>3983</v>
      </c>
      <c r="H41" s="43">
        <f>AVERAGE(F42:F45)</f>
        <v>0.10307194826192409</v>
      </c>
      <c r="I41" s="43"/>
      <c r="J41" s="8"/>
      <c r="K41" s="8"/>
      <c r="L41" s="43"/>
    </row>
    <row r="42" spans="1:12">
      <c r="A42" s="1" t="s">
        <v>3939</v>
      </c>
      <c r="B42" s="7">
        <v>29.98</v>
      </c>
      <c r="C42" s="7">
        <v>50.78</v>
      </c>
      <c r="D42" s="16">
        <f>(C42-B42)/B42</f>
        <v>0.69379586390927284</v>
      </c>
      <c r="E42" s="9">
        <v>49.48</v>
      </c>
      <c r="F42" s="16">
        <f>(C42-E42)/E42</f>
        <v>2.6273241713823853E-2</v>
      </c>
      <c r="G42" s="40"/>
      <c r="H42" s="16"/>
      <c r="I42" s="16"/>
      <c r="L42" s="16"/>
    </row>
    <row r="43" spans="1:12">
      <c r="A43" s="1" t="s">
        <v>3940</v>
      </c>
      <c r="B43" s="7">
        <v>29.98</v>
      </c>
      <c r="C43" s="7">
        <v>54.58</v>
      </c>
      <c r="D43" s="16">
        <f>(C43-B43)/B43</f>
        <v>0.82054703135423612</v>
      </c>
      <c r="E43" s="9">
        <v>49.48</v>
      </c>
      <c r="F43" s="16">
        <f>(C43-E43)/E43</f>
        <v>0.10307194826192405</v>
      </c>
      <c r="G43" s="40"/>
      <c r="H43" s="16"/>
      <c r="I43" s="16"/>
      <c r="L43" s="16"/>
    </row>
    <row r="44" spans="1:12">
      <c r="A44" s="1" t="s">
        <v>3530</v>
      </c>
      <c r="B44" s="7">
        <v>29.98</v>
      </c>
      <c r="C44" s="7">
        <v>54.58</v>
      </c>
      <c r="D44" s="16">
        <f>(C44-B44)/B44</f>
        <v>0.82054703135423612</v>
      </c>
      <c r="E44" s="9">
        <v>49.48</v>
      </c>
      <c r="F44" s="16">
        <f>(C44-E44)/E44</f>
        <v>0.10307194826192405</v>
      </c>
      <c r="G44" s="40"/>
      <c r="H44" s="16"/>
      <c r="I44" s="16"/>
      <c r="L44" s="16"/>
    </row>
    <row r="45" spans="1:12">
      <c r="A45" s="1" t="s">
        <v>3531</v>
      </c>
      <c r="B45" s="7">
        <v>29.98</v>
      </c>
      <c r="C45" s="7">
        <v>58.38</v>
      </c>
      <c r="D45" s="16">
        <f>(C45-B45)/B45</f>
        <v>0.94729819879919952</v>
      </c>
      <c r="E45" s="9">
        <v>49.48</v>
      </c>
      <c r="F45" s="16">
        <f>(C45-E45)/E45</f>
        <v>0.17987065481002437</v>
      </c>
      <c r="G45" s="40"/>
      <c r="H45" s="16"/>
      <c r="I45" s="16"/>
      <c r="L45" s="16"/>
    </row>
    <row r="46" spans="1:12">
      <c r="A46" s="1"/>
      <c r="B46" s="7"/>
      <c r="C46" s="7"/>
      <c r="D46" s="16"/>
      <c r="E46" s="9"/>
      <c r="F46" s="16"/>
      <c r="G46" s="40"/>
      <c r="H46" s="16"/>
      <c r="I46" s="16"/>
      <c r="L46" s="16"/>
    </row>
    <row r="47" spans="1:12">
      <c r="A47" s="2" t="s">
        <v>3541</v>
      </c>
      <c r="B47" s="11" t="s">
        <v>3534</v>
      </c>
      <c r="C47" s="31" t="s">
        <v>3487</v>
      </c>
      <c r="D47" s="43"/>
      <c r="E47" s="44"/>
      <c r="F47" s="43"/>
      <c r="G47" s="23" t="s">
        <v>3983</v>
      </c>
      <c r="H47" s="43">
        <f>AVERAGE(F48:F49)</f>
        <v>3.0887736424649148E-2</v>
      </c>
      <c r="I47" s="43"/>
      <c r="J47" s="8"/>
      <c r="K47" s="8"/>
      <c r="L47" s="43"/>
    </row>
    <row r="48" spans="1:12" ht="25.5">
      <c r="A48" s="1" t="s">
        <v>3542</v>
      </c>
      <c r="B48" s="7">
        <v>46.01</v>
      </c>
      <c r="C48" s="7">
        <v>64.58</v>
      </c>
      <c r="D48" s="16">
        <f>(C48-B48)/B48</f>
        <v>0.40360791132362533</v>
      </c>
      <c r="E48" s="9">
        <v>65.56</v>
      </c>
      <c r="F48" s="16">
        <f>(C48-E48)/E48</f>
        <v>-1.4948139109212995E-2</v>
      </c>
      <c r="G48" s="40"/>
      <c r="H48" s="16"/>
      <c r="I48" s="16"/>
      <c r="L48" s="16"/>
    </row>
    <row r="49" spans="1:12" ht="25.5">
      <c r="A49" s="1" t="s">
        <v>3769</v>
      </c>
      <c r="B49" s="7">
        <v>46.01</v>
      </c>
      <c r="C49" s="7">
        <v>70.59</v>
      </c>
      <c r="D49" s="16">
        <f>(C49-B49)/B49</f>
        <v>0.53423168876331251</v>
      </c>
      <c r="E49" s="9">
        <v>65.56</v>
      </c>
      <c r="F49" s="16">
        <f>(C49-E49)/E49</f>
        <v>7.6723611958511295E-2</v>
      </c>
      <c r="G49" s="40"/>
      <c r="H49" s="16"/>
      <c r="I49" s="16"/>
      <c r="L49" s="16"/>
    </row>
    <row r="50" spans="1:12">
      <c r="A50" s="1"/>
      <c r="B50" s="7"/>
      <c r="C50" s="7"/>
      <c r="D50" s="16"/>
      <c r="E50" s="9"/>
      <c r="F50" s="16"/>
      <c r="G50" s="40"/>
      <c r="H50" s="16"/>
      <c r="I50" s="16"/>
      <c r="L50" s="16"/>
    </row>
    <row r="51" spans="1:12" ht="51">
      <c r="A51" s="2" t="s">
        <v>3544</v>
      </c>
      <c r="B51" s="12" t="s">
        <v>3547</v>
      </c>
      <c r="C51" s="31" t="s">
        <v>3479</v>
      </c>
      <c r="D51" s="43"/>
      <c r="E51" s="44"/>
      <c r="F51" s="43"/>
      <c r="G51" s="23" t="s">
        <v>3984</v>
      </c>
      <c r="H51" s="43"/>
      <c r="I51" s="43">
        <f>AVERAGE(F52)</f>
        <v>0</v>
      </c>
      <c r="J51" s="8"/>
      <c r="K51" s="8"/>
      <c r="L51" s="43"/>
    </row>
    <row r="52" spans="1:12">
      <c r="A52" s="1" t="s">
        <v>3545</v>
      </c>
      <c r="B52" s="7">
        <v>30.82</v>
      </c>
      <c r="C52" s="7">
        <v>35.47</v>
      </c>
      <c r="D52" s="16">
        <f>(C52-B52)/B52</f>
        <v>0.15087605451005837</v>
      </c>
      <c r="E52" s="9">
        <v>35.47</v>
      </c>
      <c r="F52" s="16">
        <f>(C52-E52)/E52</f>
        <v>0</v>
      </c>
      <c r="G52" s="40"/>
      <c r="H52" s="16"/>
      <c r="I52" s="16"/>
      <c r="L52" s="16"/>
    </row>
    <row r="53" spans="1:12">
      <c r="A53" s="1"/>
      <c r="B53" s="7"/>
      <c r="C53" s="7"/>
      <c r="D53" s="16"/>
      <c r="E53" s="9"/>
      <c r="F53" s="16"/>
      <c r="G53" s="40"/>
      <c r="H53" s="16"/>
      <c r="I53" s="16"/>
      <c r="L53" s="16"/>
    </row>
    <row r="54" spans="1:12" ht="51">
      <c r="A54" s="2" t="s">
        <v>3546</v>
      </c>
      <c r="B54" s="12" t="s">
        <v>3547</v>
      </c>
      <c r="C54" s="12" t="s">
        <v>3547</v>
      </c>
      <c r="D54" s="16"/>
      <c r="E54" s="9"/>
      <c r="F54" s="16"/>
      <c r="G54" s="40"/>
      <c r="H54" s="16"/>
      <c r="I54" s="16"/>
      <c r="L54" s="16"/>
    </row>
    <row r="55" spans="1:12">
      <c r="A55" s="1" t="s">
        <v>3548</v>
      </c>
      <c r="B55" s="7">
        <v>27.95</v>
      </c>
      <c r="C55" s="7">
        <v>27.95</v>
      </c>
      <c r="D55" s="16">
        <f>(C55-B55)/B55</f>
        <v>0</v>
      </c>
      <c r="E55" s="9"/>
      <c r="F55" s="16"/>
      <c r="G55" s="40"/>
      <c r="H55" s="16"/>
      <c r="I55" s="16"/>
      <c r="L55" s="16"/>
    </row>
    <row r="56" spans="1:12">
      <c r="A56" s="1"/>
      <c r="B56" s="7"/>
      <c r="C56" s="7"/>
      <c r="D56" s="16"/>
      <c r="E56" s="9"/>
      <c r="F56" s="16"/>
      <c r="G56" s="40"/>
      <c r="H56" s="16"/>
      <c r="I56" s="16"/>
      <c r="L56" s="16"/>
    </row>
    <row r="57" spans="1:12" ht="25.5">
      <c r="A57" s="2" t="s">
        <v>3549</v>
      </c>
      <c r="B57" s="7"/>
      <c r="C57" s="31" t="s">
        <v>3497</v>
      </c>
      <c r="D57" s="43"/>
      <c r="E57" s="44"/>
      <c r="F57" s="43"/>
      <c r="G57" s="23" t="s">
        <v>3983</v>
      </c>
      <c r="H57" s="43">
        <f>AVERAGE(F58:F59)</f>
        <v>3.6491324703938281E-2</v>
      </c>
      <c r="I57" s="43"/>
      <c r="J57" s="8"/>
      <c r="K57" s="8"/>
      <c r="L57" s="43"/>
    </row>
    <row r="58" spans="1:12">
      <c r="A58" s="1" t="s">
        <v>3550</v>
      </c>
      <c r="B58" s="7">
        <v>36.26</v>
      </c>
      <c r="C58" s="7">
        <v>36.340000000000003</v>
      </c>
      <c r="D58" s="16">
        <f>(C58-B58)/B58</f>
        <v>2.2062879205737838E-3</v>
      </c>
      <c r="E58" s="9">
        <v>36.31</v>
      </c>
      <c r="F58" s="16">
        <f>(C58-E58)/E58</f>
        <v>8.2621867254203073E-4</v>
      </c>
      <c r="G58" s="40"/>
      <c r="H58" s="16"/>
      <c r="I58" s="16"/>
      <c r="L58" s="16"/>
    </row>
    <row r="59" spans="1:12">
      <c r="A59" s="1" t="s">
        <v>3551</v>
      </c>
      <c r="B59" s="7">
        <v>38.9</v>
      </c>
      <c r="C59" s="7">
        <v>38.93</v>
      </c>
      <c r="D59" s="16">
        <f>(C59-B59)/B59</f>
        <v>7.7120822622110891E-4</v>
      </c>
      <c r="E59" s="9">
        <v>36.31</v>
      </c>
      <c r="F59" s="16">
        <f>(C59-E59)/E59</f>
        <v>7.2156430735334537E-2</v>
      </c>
      <c r="G59" s="40"/>
      <c r="H59" s="16"/>
      <c r="I59" s="16"/>
      <c r="L59" s="16"/>
    </row>
    <row r="60" spans="1:12">
      <c r="A60" s="1"/>
      <c r="B60" s="7"/>
      <c r="C60" s="7"/>
      <c r="D60" s="16"/>
      <c r="E60" s="9"/>
      <c r="F60" s="16"/>
      <c r="G60" s="40"/>
      <c r="H60" s="16"/>
      <c r="I60" s="16"/>
      <c r="L60" s="16"/>
    </row>
    <row r="61" spans="1:12">
      <c r="A61" s="2" t="s">
        <v>3552</v>
      </c>
      <c r="B61" s="11" t="s">
        <v>3534</v>
      </c>
      <c r="C61" s="31" t="s">
        <v>3479</v>
      </c>
      <c r="D61" s="16"/>
      <c r="E61" s="9"/>
      <c r="F61" s="16"/>
      <c r="G61" s="23" t="s">
        <v>3984</v>
      </c>
      <c r="H61" s="16"/>
      <c r="I61" s="43">
        <f>AVERAGE(F62)</f>
        <v>-8.2244799225932117E-3</v>
      </c>
      <c r="L61" s="16"/>
    </row>
    <row r="62" spans="1:12">
      <c r="A62" s="1" t="s">
        <v>3553</v>
      </c>
      <c r="B62" s="7">
        <v>21.5</v>
      </c>
      <c r="C62" s="7">
        <v>20.5</v>
      </c>
      <c r="D62" s="16">
        <f>(C62-B62)/B62</f>
        <v>-4.6511627906976744E-2</v>
      </c>
      <c r="E62" s="9">
        <v>20.67</v>
      </c>
      <c r="F62" s="16">
        <f>(C62-E62)/E62</f>
        <v>-8.2244799225932117E-3</v>
      </c>
      <c r="G62" s="40"/>
      <c r="H62" s="16"/>
      <c r="I62" s="16"/>
      <c r="L62" s="16"/>
    </row>
    <row r="63" spans="1:12">
      <c r="A63" s="1"/>
      <c r="B63" s="7"/>
      <c r="C63" s="7"/>
      <c r="D63" s="16"/>
      <c r="E63" s="9"/>
      <c r="F63" s="16"/>
      <c r="G63" s="40"/>
      <c r="H63" s="16"/>
      <c r="I63" s="16"/>
      <c r="L63" s="16"/>
    </row>
    <row r="64" spans="1:12" ht="51">
      <c r="A64" s="2" t="s">
        <v>3554</v>
      </c>
      <c r="B64" s="12" t="s">
        <v>3547</v>
      </c>
      <c r="C64" s="12" t="s">
        <v>3547</v>
      </c>
      <c r="D64" s="43"/>
      <c r="E64" s="44"/>
      <c r="F64" s="43"/>
      <c r="G64" s="23" t="s">
        <v>3983</v>
      </c>
      <c r="H64" s="43">
        <f>AVERAGE(F65:F66)</f>
        <v>0</v>
      </c>
      <c r="I64" s="43"/>
      <c r="J64" s="8"/>
      <c r="K64" s="8"/>
      <c r="L64" s="43"/>
    </row>
    <row r="65" spans="1:12">
      <c r="A65" s="1" t="s">
        <v>3555</v>
      </c>
      <c r="B65" s="7">
        <v>33.57</v>
      </c>
      <c r="C65" s="7">
        <v>33.57</v>
      </c>
      <c r="D65" s="16">
        <f>(C65-B65)/B65</f>
        <v>0</v>
      </c>
      <c r="E65" s="9">
        <v>33.57</v>
      </c>
      <c r="F65" s="16">
        <f>(C65-E65)/E65</f>
        <v>0</v>
      </c>
      <c r="G65" s="40"/>
      <c r="H65" s="16"/>
      <c r="I65" s="16"/>
      <c r="L65" s="16"/>
    </row>
    <row r="66" spans="1:12">
      <c r="A66" s="143"/>
      <c r="B66" s="143"/>
      <c r="C66" s="7"/>
      <c r="D66" s="16"/>
      <c r="E66" s="9"/>
      <c r="F66" s="16"/>
      <c r="G66" s="40"/>
      <c r="H66" s="16"/>
      <c r="I66" s="16"/>
      <c r="L66" s="16"/>
    </row>
    <row r="67" spans="1:12" ht="25.5">
      <c r="A67" s="2" t="s">
        <v>3556</v>
      </c>
      <c r="B67" s="7"/>
      <c r="C67" s="31"/>
      <c r="D67" s="43"/>
      <c r="E67" s="44"/>
      <c r="F67" s="43"/>
      <c r="G67" s="23" t="s">
        <v>3983</v>
      </c>
      <c r="H67" s="43">
        <f>AVERAGE(F68:F69)</f>
        <v>2.3089355806972984E-2</v>
      </c>
      <c r="I67" s="43"/>
      <c r="J67" s="8"/>
      <c r="K67" s="8"/>
      <c r="L67" s="43"/>
    </row>
    <row r="68" spans="1:12">
      <c r="A68" s="1" t="s">
        <v>3557</v>
      </c>
      <c r="B68" s="7">
        <v>43.31</v>
      </c>
      <c r="C68" s="7">
        <v>43.31</v>
      </c>
      <c r="D68" s="16">
        <f>(C68-B68)/B68</f>
        <v>0</v>
      </c>
      <c r="E68" s="9">
        <v>43.31</v>
      </c>
      <c r="F68" s="16">
        <f>(C68-E68)/E68</f>
        <v>0</v>
      </c>
      <c r="G68" s="40"/>
      <c r="H68" s="16"/>
      <c r="I68" s="16"/>
      <c r="L68" s="16"/>
    </row>
    <row r="69" spans="1:12">
      <c r="A69" s="1" t="s">
        <v>3683</v>
      </c>
      <c r="B69" s="7">
        <v>45.31</v>
      </c>
      <c r="C69" s="7">
        <v>45.31</v>
      </c>
      <c r="D69" s="16">
        <f>(C69-B69)/B69</f>
        <v>0</v>
      </c>
      <c r="E69" s="9">
        <v>43.31</v>
      </c>
      <c r="F69" s="16">
        <f>(C69-E69)/E69</f>
        <v>4.6178711613945968E-2</v>
      </c>
      <c r="G69" s="40"/>
      <c r="H69" s="16"/>
      <c r="I69" s="16"/>
      <c r="L69" s="16"/>
    </row>
    <row r="70" spans="1:12">
      <c r="A70" s="143"/>
      <c r="B70" s="143"/>
      <c r="C70" s="7"/>
      <c r="D70" s="16"/>
      <c r="E70" s="9"/>
      <c r="F70" s="16"/>
      <c r="G70" s="40"/>
      <c r="H70" s="16"/>
      <c r="I70" s="16"/>
      <c r="L70" s="16"/>
    </row>
    <row r="71" spans="1:12" ht="38.25">
      <c r="A71" s="2" t="s">
        <v>3684</v>
      </c>
      <c r="B71" s="12" t="s">
        <v>3923</v>
      </c>
      <c r="C71" s="55" t="s">
        <v>3480</v>
      </c>
      <c r="D71" s="43"/>
      <c r="E71" s="44"/>
      <c r="F71" s="43"/>
      <c r="G71" s="23" t="s">
        <v>3983</v>
      </c>
      <c r="H71" s="43">
        <f>AVERAGE(F72:F74)</f>
        <v>3.9035477814013279E-2</v>
      </c>
      <c r="I71" s="43"/>
      <c r="J71" s="8"/>
      <c r="K71" s="8"/>
      <c r="L71" s="43"/>
    </row>
    <row r="72" spans="1:12">
      <c r="A72" s="1" t="s">
        <v>3560</v>
      </c>
      <c r="B72" s="7">
        <v>33.76</v>
      </c>
      <c r="C72" s="7">
        <v>34.26</v>
      </c>
      <c r="D72" s="16">
        <f>(C72-B72)/B72</f>
        <v>1.481042654028436E-2</v>
      </c>
      <c r="E72" s="9">
        <v>33.729999999999997</v>
      </c>
      <c r="F72" s="16">
        <f>(C72-E72)/E72</f>
        <v>1.5713015120071189E-2</v>
      </c>
      <c r="G72" s="40"/>
      <c r="H72" s="16"/>
      <c r="I72" s="16"/>
      <c r="L72" s="16"/>
    </row>
    <row r="73" spans="1:12">
      <c r="A73" s="1" t="s">
        <v>3561</v>
      </c>
      <c r="B73" s="7">
        <v>34.76</v>
      </c>
      <c r="C73" s="7">
        <v>35.26</v>
      </c>
      <c r="D73" s="16">
        <f>(C73-B73)/B73</f>
        <v>1.4384349827387804E-2</v>
      </c>
      <c r="E73" s="9">
        <v>33.729999999999997</v>
      </c>
      <c r="F73" s="16">
        <f>(C73-E73)/E73</f>
        <v>4.5360213459828082E-2</v>
      </c>
      <c r="G73" s="40"/>
      <c r="H73" s="16"/>
      <c r="I73" s="16"/>
      <c r="L73" s="16"/>
    </row>
    <row r="74" spans="1:12">
      <c r="A74" s="1" t="s">
        <v>3941</v>
      </c>
      <c r="B74" s="7">
        <v>35.119999999999997</v>
      </c>
      <c r="C74" s="7">
        <v>35.619999999999997</v>
      </c>
      <c r="D74" s="16">
        <f>(C74-B74)/B74</f>
        <v>1.4236902050113897E-2</v>
      </c>
      <c r="E74" s="9">
        <v>33.729999999999997</v>
      </c>
      <c r="F74" s="16">
        <f>(C74-E74)/E74</f>
        <v>5.603320486214055E-2</v>
      </c>
      <c r="G74" s="40"/>
      <c r="H74" s="16"/>
      <c r="I74" s="16"/>
      <c r="L74" s="16"/>
    </row>
    <row r="75" spans="1:12">
      <c r="A75" s="1"/>
      <c r="B75" s="7"/>
      <c r="C75" s="7"/>
      <c r="D75" s="16"/>
      <c r="E75" s="9"/>
      <c r="F75" s="16"/>
      <c r="G75" s="40"/>
      <c r="H75" s="16"/>
      <c r="I75" s="16"/>
      <c r="L75" s="16"/>
    </row>
    <row r="76" spans="1:12" ht="38.25">
      <c r="A76" s="2" t="s">
        <v>3563</v>
      </c>
      <c r="B76" s="12" t="s">
        <v>3564</v>
      </c>
      <c r="C76" s="31"/>
      <c r="D76" s="43"/>
      <c r="E76" s="44"/>
      <c r="F76" s="43"/>
      <c r="G76" s="23" t="s">
        <v>3983</v>
      </c>
      <c r="H76" s="43">
        <f>AVERAGE(F77:F79)</f>
        <v>4.7984644913627604E-2</v>
      </c>
      <c r="I76" s="43"/>
      <c r="J76" s="8"/>
      <c r="K76" s="8"/>
      <c r="L76" s="43"/>
    </row>
    <row r="77" spans="1:12">
      <c r="A77" s="1" t="s">
        <v>3565</v>
      </c>
      <c r="B77" s="7">
        <v>54.38</v>
      </c>
      <c r="C77" s="7">
        <v>56.74</v>
      </c>
      <c r="D77" s="16">
        <f>(C77-B77)/B77</f>
        <v>4.3398308201544673E-2</v>
      </c>
      <c r="E77" s="9">
        <v>57.31</v>
      </c>
      <c r="F77" s="16">
        <f>(C77-E77)/E77</f>
        <v>-9.9459082184610061E-3</v>
      </c>
      <c r="G77" s="40"/>
      <c r="H77" s="16"/>
      <c r="I77" s="16"/>
      <c r="L77" s="16"/>
    </row>
    <row r="78" spans="1:12">
      <c r="A78" s="1" t="s">
        <v>3566</v>
      </c>
      <c r="B78" s="7">
        <v>57.68</v>
      </c>
      <c r="C78" s="7">
        <v>60.04</v>
      </c>
      <c r="D78" s="16">
        <f>(C78-B78)/B78</f>
        <v>4.0915395284327312E-2</v>
      </c>
      <c r="E78" s="9">
        <v>57.31</v>
      </c>
      <c r="F78" s="16">
        <f>(C78-E78)/E78</f>
        <v>4.7635665677892111E-2</v>
      </c>
      <c r="G78" s="40"/>
      <c r="H78" s="16"/>
      <c r="I78" s="16"/>
      <c r="L78" s="16"/>
    </row>
    <row r="79" spans="1:12">
      <c r="A79" s="1" t="s">
        <v>3567</v>
      </c>
      <c r="B79" s="7">
        <v>61.04</v>
      </c>
      <c r="C79" s="7">
        <v>63.4</v>
      </c>
      <c r="D79" s="16">
        <f>(C79-B79)/B79</f>
        <v>3.8663171690694616E-2</v>
      </c>
      <c r="E79" s="9">
        <v>57.31</v>
      </c>
      <c r="F79" s="16">
        <f>(C79-E79)/E79</f>
        <v>0.10626417728145168</v>
      </c>
      <c r="G79" s="40"/>
      <c r="H79" s="16"/>
      <c r="I79" s="16"/>
      <c r="L79" s="16"/>
    </row>
    <row r="80" spans="1:12">
      <c r="A80" s="143"/>
      <c r="B80" s="143"/>
      <c r="C80" s="7"/>
      <c r="D80" s="16"/>
      <c r="E80" s="9"/>
      <c r="F80" s="16"/>
      <c r="G80" s="40"/>
      <c r="H80" s="16"/>
      <c r="I80" s="16"/>
      <c r="L80" s="16"/>
    </row>
    <row r="81" spans="1:12" ht="25.5" customHeight="1">
      <c r="A81" s="2" t="s">
        <v>3568</v>
      </c>
      <c r="B81" s="147" t="s">
        <v>3912</v>
      </c>
      <c r="C81" s="147" t="s">
        <v>3912</v>
      </c>
      <c r="D81" s="43"/>
      <c r="E81" s="44"/>
      <c r="F81" s="43"/>
      <c r="G81" s="23" t="s">
        <v>3983</v>
      </c>
      <c r="H81" s="43">
        <f>AVERAGE(F83:F96)</f>
        <v>-1.1832395247029375E-2</v>
      </c>
      <c r="I81" s="43"/>
      <c r="J81" s="8"/>
      <c r="K81" s="8"/>
      <c r="L81" s="43"/>
    </row>
    <row r="82" spans="1:12" ht="12.75" customHeight="1">
      <c r="A82" s="3" t="s">
        <v>3569</v>
      </c>
      <c r="B82" s="147"/>
      <c r="C82" s="147"/>
      <c r="D82" s="16"/>
      <c r="E82" s="9"/>
      <c r="F82" s="16"/>
      <c r="G82" s="40"/>
      <c r="H82" s="16"/>
      <c r="I82" s="16"/>
      <c r="L82" s="16"/>
    </row>
    <row r="83" spans="1:12">
      <c r="A83" s="1" t="s">
        <v>3571</v>
      </c>
      <c r="B83" s="7">
        <v>25.66</v>
      </c>
      <c r="C83" s="7">
        <v>25.66</v>
      </c>
      <c r="D83" s="16">
        <f t="shared" ref="D83:D96" si="0">(C83-B83)/B83</f>
        <v>0</v>
      </c>
      <c r="E83" s="9">
        <v>30.75</v>
      </c>
      <c r="F83" s="16">
        <f t="shared" ref="F83:F101" si="1">(C83-E83)/E83</f>
        <v>-0.16552845528455284</v>
      </c>
      <c r="G83" s="40"/>
      <c r="H83" s="16"/>
      <c r="I83" s="16"/>
      <c r="L83" s="16"/>
    </row>
    <row r="84" spans="1:12">
      <c r="A84" s="1" t="s">
        <v>3572</v>
      </c>
      <c r="B84" s="7">
        <v>27.16</v>
      </c>
      <c r="C84" s="7">
        <v>27.16</v>
      </c>
      <c r="D84" s="16">
        <f t="shared" si="0"/>
        <v>0</v>
      </c>
      <c r="E84" s="9">
        <v>30.75</v>
      </c>
      <c r="F84" s="16">
        <f t="shared" si="1"/>
        <v>-0.11674796747967479</v>
      </c>
      <c r="G84" s="40"/>
      <c r="H84" s="16"/>
      <c r="I84" s="16"/>
      <c r="L84" s="16"/>
    </row>
    <row r="85" spans="1:12">
      <c r="A85" s="1" t="s">
        <v>3573</v>
      </c>
      <c r="B85" s="7">
        <v>30.82</v>
      </c>
      <c r="C85" s="7">
        <v>30.82</v>
      </c>
      <c r="D85" s="16">
        <f t="shared" si="0"/>
        <v>0</v>
      </c>
      <c r="E85" s="9">
        <v>30.75</v>
      </c>
      <c r="F85" s="16">
        <f t="shared" si="1"/>
        <v>2.2764227642276514E-3</v>
      </c>
      <c r="G85" s="40"/>
      <c r="H85" s="16"/>
      <c r="I85" s="16"/>
      <c r="L85" s="16"/>
    </row>
    <row r="86" spans="1:12">
      <c r="A86" s="1" t="s">
        <v>3574</v>
      </c>
      <c r="B86" s="7">
        <v>27.95</v>
      </c>
      <c r="C86" s="7">
        <v>27.95</v>
      </c>
      <c r="D86" s="16">
        <f t="shared" si="0"/>
        <v>0</v>
      </c>
      <c r="E86" s="9">
        <v>30.75</v>
      </c>
      <c r="F86" s="16">
        <f t="shared" si="1"/>
        <v>-9.1056910569105712E-2</v>
      </c>
      <c r="G86" s="40"/>
      <c r="H86" s="16"/>
      <c r="I86" s="16"/>
      <c r="L86" s="16"/>
    </row>
    <row r="87" spans="1:12">
      <c r="A87" s="1" t="s">
        <v>3575</v>
      </c>
      <c r="B87" s="7">
        <v>30.92</v>
      </c>
      <c r="C87" s="7">
        <v>30.92</v>
      </c>
      <c r="D87" s="16">
        <f t="shared" si="0"/>
        <v>0</v>
      </c>
      <c r="E87" s="9">
        <v>30.75</v>
      </c>
      <c r="F87" s="16">
        <f t="shared" si="1"/>
        <v>5.528455284552901E-3</v>
      </c>
      <c r="G87" s="40"/>
      <c r="H87" s="16"/>
      <c r="I87" s="16"/>
      <c r="L87" s="16"/>
    </row>
    <row r="88" spans="1:12">
      <c r="A88" s="1" t="s">
        <v>3576</v>
      </c>
      <c r="B88" s="7">
        <v>31.07</v>
      </c>
      <c r="C88" s="7">
        <v>31.07</v>
      </c>
      <c r="D88" s="16">
        <f t="shared" si="0"/>
        <v>0</v>
      </c>
      <c r="E88" s="9">
        <v>30.75</v>
      </c>
      <c r="F88" s="16">
        <f t="shared" si="1"/>
        <v>1.0406504065040659E-2</v>
      </c>
      <c r="G88" s="40"/>
      <c r="H88" s="16"/>
      <c r="I88" s="16"/>
      <c r="L88" s="16"/>
    </row>
    <row r="89" spans="1:12">
      <c r="A89" s="1" t="s">
        <v>3577</v>
      </c>
      <c r="B89" s="7">
        <v>31.32</v>
      </c>
      <c r="C89" s="7">
        <v>31.32</v>
      </c>
      <c r="D89" s="16">
        <f t="shared" si="0"/>
        <v>0</v>
      </c>
      <c r="E89" s="9">
        <v>30.75</v>
      </c>
      <c r="F89" s="16">
        <f t="shared" si="1"/>
        <v>1.8536585365853668E-2</v>
      </c>
      <c r="G89" s="40"/>
      <c r="H89" s="16"/>
      <c r="I89" s="16"/>
      <c r="L89" s="16"/>
    </row>
    <row r="90" spans="1:12">
      <c r="A90" s="1" t="s">
        <v>3578</v>
      </c>
      <c r="B90" s="7">
        <v>32.57</v>
      </c>
      <c r="C90" s="7">
        <v>32.57</v>
      </c>
      <c r="D90" s="16">
        <f t="shared" si="0"/>
        <v>0</v>
      </c>
      <c r="E90" s="9">
        <v>30.75</v>
      </c>
      <c r="F90" s="16">
        <f t="shared" si="1"/>
        <v>5.9186991869918708E-2</v>
      </c>
      <c r="G90" s="40"/>
      <c r="H90" s="16"/>
      <c r="I90" s="16"/>
      <c r="L90" s="16"/>
    </row>
    <row r="91" spans="1:12">
      <c r="A91" s="1" t="s">
        <v>3579</v>
      </c>
      <c r="B91" s="7">
        <v>31.62</v>
      </c>
      <c r="C91" s="7">
        <v>31.62</v>
      </c>
      <c r="D91" s="16">
        <f t="shared" si="0"/>
        <v>0</v>
      </c>
      <c r="E91" s="9">
        <v>30.75</v>
      </c>
      <c r="F91" s="16">
        <f t="shared" si="1"/>
        <v>2.82926829268293E-2</v>
      </c>
      <c r="G91" s="40"/>
      <c r="H91" s="16"/>
      <c r="I91" s="16"/>
      <c r="L91" s="16"/>
    </row>
    <row r="92" spans="1:12">
      <c r="A92" s="1" t="s">
        <v>3580</v>
      </c>
      <c r="B92" s="11" t="s">
        <v>3534</v>
      </c>
      <c r="C92" s="11" t="s">
        <v>3534</v>
      </c>
      <c r="D92" s="16"/>
      <c r="E92" s="9"/>
      <c r="F92" s="16"/>
      <c r="G92" s="40"/>
      <c r="H92" s="16"/>
      <c r="I92" s="16"/>
      <c r="L92" s="16"/>
    </row>
    <row r="93" spans="1:12">
      <c r="A93" s="1" t="s">
        <v>3581</v>
      </c>
      <c r="B93" s="7">
        <v>31.62</v>
      </c>
      <c r="C93" s="7">
        <v>31.62</v>
      </c>
      <c r="D93" s="16">
        <f t="shared" si="0"/>
        <v>0</v>
      </c>
      <c r="E93" s="9">
        <v>30.75</v>
      </c>
      <c r="F93" s="16">
        <f t="shared" si="1"/>
        <v>2.82926829268293E-2</v>
      </c>
      <c r="G93" s="40"/>
      <c r="H93" s="16"/>
      <c r="I93" s="16"/>
      <c r="L93" s="16"/>
    </row>
    <row r="94" spans="1:12">
      <c r="A94" s="1" t="s">
        <v>3582</v>
      </c>
      <c r="B94" s="7">
        <v>31.32</v>
      </c>
      <c r="C94" s="7">
        <v>31.32</v>
      </c>
      <c r="D94" s="16">
        <f t="shared" si="0"/>
        <v>0</v>
      </c>
      <c r="E94" s="9">
        <v>30.75</v>
      </c>
      <c r="F94" s="16">
        <f t="shared" si="1"/>
        <v>1.8536585365853668E-2</v>
      </c>
      <c r="G94" s="40"/>
      <c r="H94" s="16"/>
      <c r="I94" s="16"/>
      <c r="L94" s="16"/>
    </row>
    <row r="95" spans="1:12">
      <c r="A95" s="1" t="s">
        <v>3583</v>
      </c>
      <c r="B95" s="7">
        <v>30.97</v>
      </c>
      <c r="C95" s="7">
        <v>30.97</v>
      </c>
      <c r="D95" s="16">
        <f t="shared" si="0"/>
        <v>0</v>
      </c>
      <c r="E95" s="9">
        <v>30.75</v>
      </c>
      <c r="F95" s="16">
        <f t="shared" si="1"/>
        <v>7.1544715447154099E-3</v>
      </c>
      <c r="G95" s="40"/>
      <c r="H95" s="16"/>
      <c r="I95" s="16"/>
      <c r="L95" s="16"/>
    </row>
    <row r="96" spans="1:12">
      <c r="A96" s="1" t="s">
        <v>3584</v>
      </c>
      <c r="B96" s="7">
        <v>32.020000000000003</v>
      </c>
      <c r="C96" s="7">
        <v>32.020000000000003</v>
      </c>
      <c r="D96" s="16">
        <f t="shared" si="0"/>
        <v>0</v>
      </c>
      <c r="E96" s="9">
        <v>30.75</v>
      </c>
      <c r="F96" s="16">
        <f t="shared" si="1"/>
        <v>4.1300813008130183E-2</v>
      </c>
      <c r="G96" s="40"/>
      <c r="H96" s="16"/>
      <c r="I96" s="16"/>
      <c r="L96" s="16"/>
    </row>
    <row r="97" spans="1:12">
      <c r="A97" s="1"/>
      <c r="B97" s="7"/>
      <c r="C97" s="7"/>
      <c r="D97" s="16"/>
      <c r="E97" s="9"/>
      <c r="F97" s="16"/>
      <c r="G97" s="40"/>
      <c r="H97" s="16"/>
      <c r="I97" s="16"/>
      <c r="L97" s="16"/>
    </row>
    <row r="98" spans="1:12" ht="38.25">
      <c r="A98" s="2" t="s">
        <v>3585</v>
      </c>
      <c r="B98" s="12" t="s">
        <v>3689</v>
      </c>
      <c r="C98" s="31" t="s">
        <v>3480</v>
      </c>
      <c r="D98" s="43"/>
      <c r="E98" s="44"/>
      <c r="F98" s="43"/>
      <c r="G98" s="23" t="s">
        <v>3983</v>
      </c>
      <c r="H98" s="43">
        <f>AVERAGE(F99:F101)</f>
        <v>-7.6331395690213549E-4</v>
      </c>
      <c r="I98" s="43"/>
      <c r="J98" s="8"/>
      <c r="K98" s="8"/>
      <c r="L98" s="43"/>
    </row>
    <row r="99" spans="1:12">
      <c r="A99" s="1" t="s">
        <v>3784</v>
      </c>
      <c r="B99" s="7">
        <v>57.06</v>
      </c>
      <c r="C99" s="7">
        <v>54.56</v>
      </c>
      <c r="D99" s="16">
        <f>(C99-B99)/B99</f>
        <v>-4.3813529617946018E-2</v>
      </c>
      <c r="E99" s="9">
        <v>56.77</v>
      </c>
      <c r="F99" s="16">
        <f t="shared" si="1"/>
        <v>-3.8929011802008119E-2</v>
      </c>
      <c r="G99" s="40"/>
      <c r="H99" s="16"/>
      <c r="I99" s="16"/>
      <c r="L99" s="16"/>
    </row>
    <row r="100" spans="1:12">
      <c r="A100" s="1" t="s">
        <v>3588</v>
      </c>
      <c r="B100" s="7">
        <v>59.56</v>
      </c>
      <c r="C100" s="7">
        <v>57.06</v>
      </c>
      <c r="D100" s="16">
        <f>(C100-B100)/B100</f>
        <v>-4.1974479516453993E-2</v>
      </c>
      <c r="E100" s="9">
        <v>56.77</v>
      </c>
      <c r="F100" s="16">
        <f t="shared" si="1"/>
        <v>5.1083318654218625E-3</v>
      </c>
      <c r="G100" s="40"/>
      <c r="H100" s="16"/>
      <c r="I100" s="16"/>
      <c r="L100" s="16"/>
    </row>
    <row r="101" spans="1:12" ht="25.5">
      <c r="A101" s="1" t="s">
        <v>3589</v>
      </c>
      <c r="B101" s="7">
        <v>61.06</v>
      </c>
      <c r="C101" s="7">
        <v>58.56</v>
      </c>
      <c r="D101" s="16">
        <f>(C101-B101)/B101</f>
        <v>-4.0943334425155582E-2</v>
      </c>
      <c r="E101" s="9">
        <v>56.77</v>
      </c>
      <c r="F101" s="16">
        <f t="shared" si="1"/>
        <v>3.1530738065879853E-2</v>
      </c>
      <c r="G101" s="40"/>
      <c r="H101" s="16"/>
      <c r="I101" s="16"/>
      <c r="L101" s="16"/>
    </row>
    <row r="102" spans="1:12">
      <c r="A102" s="143"/>
      <c r="B102" s="143"/>
      <c r="C102" s="7"/>
      <c r="D102" s="16"/>
      <c r="E102" s="9"/>
      <c r="F102" s="16"/>
      <c r="G102" s="40"/>
      <c r="H102" s="16"/>
      <c r="I102" s="16"/>
      <c r="L102" s="16"/>
    </row>
    <row r="103" spans="1:12">
      <c r="A103" s="2" t="s">
        <v>3925</v>
      </c>
      <c r="B103" s="7"/>
      <c r="C103" s="31" t="s">
        <v>3479</v>
      </c>
      <c r="D103" s="43"/>
      <c r="E103" s="44"/>
      <c r="F103" s="43"/>
      <c r="G103" s="23" t="s">
        <v>3984</v>
      </c>
      <c r="H103" s="43"/>
      <c r="I103" s="43">
        <f>AVERAGE(F104:F107)</f>
        <v>0</v>
      </c>
      <c r="J103" s="8"/>
      <c r="K103" s="8"/>
      <c r="L103" s="43"/>
    </row>
    <row r="104" spans="1:12">
      <c r="A104" s="1" t="s">
        <v>3786</v>
      </c>
      <c r="B104" s="7">
        <v>49.7</v>
      </c>
      <c r="C104" s="7">
        <v>25.33</v>
      </c>
      <c r="D104" s="16">
        <f>(C104-B104)/B104</f>
        <v>-0.49034205231388334</v>
      </c>
      <c r="E104" s="9">
        <v>25.33</v>
      </c>
      <c r="F104" s="16">
        <f>(C104-E104)/E104</f>
        <v>0</v>
      </c>
      <c r="G104" s="40"/>
      <c r="H104" s="16"/>
      <c r="I104" s="16"/>
      <c r="L104" s="16"/>
    </row>
    <row r="105" spans="1:12">
      <c r="A105" s="1" t="s">
        <v>3787</v>
      </c>
      <c r="B105" s="7">
        <v>50.7</v>
      </c>
      <c r="C105" s="7">
        <v>25.33</v>
      </c>
      <c r="D105" s="16">
        <f>(C105-B105)/B105</f>
        <v>-0.50039447731755426</v>
      </c>
      <c r="E105" s="9">
        <v>25.33</v>
      </c>
      <c r="F105" s="16">
        <f>(C105-E105)/E105</f>
        <v>0</v>
      </c>
      <c r="G105" s="40"/>
      <c r="H105" s="16"/>
      <c r="I105" s="16"/>
      <c r="L105" s="16"/>
    </row>
    <row r="106" spans="1:12">
      <c r="A106" s="1" t="s">
        <v>3788</v>
      </c>
      <c r="B106" s="7">
        <v>53.01</v>
      </c>
      <c r="C106" s="7">
        <v>25.33</v>
      </c>
      <c r="D106" s="16">
        <f>(C106-B106)/B106</f>
        <v>-0.52216562912657993</v>
      </c>
      <c r="E106" s="9">
        <v>25.33</v>
      </c>
      <c r="F106" s="16">
        <f>(C106-E106)/E106</f>
        <v>0</v>
      </c>
      <c r="G106" s="40"/>
      <c r="H106" s="16"/>
      <c r="I106" s="16"/>
      <c r="L106" s="16"/>
    </row>
    <row r="107" spans="1:12">
      <c r="A107" s="1" t="s">
        <v>3789</v>
      </c>
      <c r="B107" s="7">
        <v>56.65</v>
      </c>
      <c r="C107" s="7">
        <v>25.33</v>
      </c>
      <c r="D107" s="16">
        <f>(C107-B107)/B107</f>
        <v>-0.55286849073256839</v>
      </c>
      <c r="E107" s="9">
        <v>25.33</v>
      </c>
      <c r="F107" s="16">
        <f>(C107-E107)/E107</f>
        <v>0</v>
      </c>
      <c r="G107" s="40"/>
      <c r="H107" s="16"/>
      <c r="I107" s="16"/>
      <c r="L107" s="16"/>
    </row>
    <row r="108" spans="1:12">
      <c r="A108" s="143"/>
      <c r="B108" s="143"/>
      <c r="C108" s="7"/>
      <c r="D108" s="16"/>
      <c r="E108" s="9"/>
      <c r="F108" s="16"/>
      <c r="G108" s="40"/>
      <c r="H108" s="16"/>
      <c r="I108" s="16"/>
      <c r="L108" s="16"/>
    </row>
    <row r="109" spans="1:12" ht="25.5" customHeight="1">
      <c r="A109" s="2" t="s">
        <v>3942</v>
      </c>
      <c r="B109" s="147" t="s">
        <v>3912</v>
      </c>
      <c r="C109" s="147" t="s">
        <v>3912</v>
      </c>
      <c r="D109" s="43"/>
      <c r="E109" s="44"/>
      <c r="F109" s="43"/>
      <c r="G109" s="23" t="s">
        <v>3983</v>
      </c>
      <c r="H109" s="43">
        <f>AVERAGE(F111:F162)</f>
        <v>8.8751982432597215E-2</v>
      </c>
      <c r="I109" s="43"/>
      <c r="J109" s="8"/>
      <c r="K109" s="8"/>
      <c r="L109" s="43"/>
    </row>
    <row r="110" spans="1:12" ht="12.75" customHeight="1">
      <c r="A110" s="3" t="s">
        <v>3569</v>
      </c>
      <c r="B110" s="147"/>
      <c r="C110" s="147"/>
      <c r="D110" s="16"/>
      <c r="E110" s="9"/>
      <c r="F110" s="16"/>
      <c r="G110" s="40"/>
      <c r="H110" s="16"/>
      <c r="I110" s="16"/>
      <c r="L110" s="16"/>
    </row>
    <row r="111" spans="1:12">
      <c r="A111" s="1" t="s">
        <v>3573</v>
      </c>
      <c r="B111" s="7">
        <v>41.33</v>
      </c>
      <c r="C111" s="7">
        <v>43.08</v>
      </c>
      <c r="D111" s="16">
        <f t="shared" ref="D111:D126" si="2">(C111-B111)/B111</f>
        <v>4.2342124364868138E-2</v>
      </c>
      <c r="E111" s="9">
        <v>46.84</v>
      </c>
      <c r="F111" s="16">
        <f t="shared" ref="F111:F126" si="3">(C111-E111)/E111</f>
        <v>-8.0273270708796002E-2</v>
      </c>
      <c r="G111" s="40"/>
      <c r="H111" s="16"/>
      <c r="I111" s="16"/>
      <c r="L111" s="16"/>
    </row>
    <row r="112" spans="1:12">
      <c r="A112" s="1" t="s">
        <v>3574</v>
      </c>
      <c r="B112" s="7">
        <v>44.09</v>
      </c>
      <c r="C112" s="7">
        <v>45.84</v>
      </c>
      <c r="D112" s="16">
        <f t="shared" si="2"/>
        <v>3.9691540031753229E-2</v>
      </c>
      <c r="E112" s="9">
        <v>46.84</v>
      </c>
      <c r="F112" s="16">
        <f t="shared" si="3"/>
        <v>-2.1349274124679761E-2</v>
      </c>
      <c r="G112" s="40"/>
      <c r="H112" s="16"/>
      <c r="I112" s="16"/>
      <c r="L112" s="16"/>
    </row>
    <row r="113" spans="1:12">
      <c r="A113" s="1" t="s">
        <v>3575</v>
      </c>
      <c r="B113" s="7">
        <v>44.62</v>
      </c>
      <c r="C113" s="7">
        <v>46.37</v>
      </c>
      <c r="D113" s="16">
        <f t="shared" si="2"/>
        <v>3.9220080681308833E-2</v>
      </c>
      <c r="E113" s="9">
        <v>46.84</v>
      </c>
      <c r="F113" s="16">
        <f t="shared" si="3"/>
        <v>-1.0034158838599615E-2</v>
      </c>
      <c r="G113" s="40"/>
      <c r="H113" s="16"/>
      <c r="I113" s="16"/>
      <c r="L113" s="16"/>
    </row>
    <row r="114" spans="1:12">
      <c r="A114" s="1" t="s">
        <v>3576</v>
      </c>
      <c r="B114" s="7">
        <v>44.89</v>
      </c>
      <c r="C114" s="7">
        <v>46.64</v>
      </c>
      <c r="D114" s="16">
        <f t="shared" si="2"/>
        <v>3.8984183559812875E-2</v>
      </c>
      <c r="E114" s="9">
        <v>46.84</v>
      </c>
      <c r="F114" s="16">
        <f t="shared" si="3"/>
        <v>-4.2698548249360127E-3</v>
      </c>
      <c r="G114" s="40"/>
      <c r="H114" s="16"/>
      <c r="I114" s="16"/>
      <c r="L114" s="16"/>
    </row>
    <row r="115" spans="1:12">
      <c r="A115" s="1" t="s">
        <v>3577</v>
      </c>
      <c r="B115" s="7">
        <v>45.63</v>
      </c>
      <c r="C115" s="7">
        <v>47.38</v>
      </c>
      <c r="D115" s="16">
        <f t="shared" si="2"/>
        <v>3.8351961428884501E-2</v>
      </c>
      <c r="E115" s="9">
        <v>46.84</v>
      </c>
      <c r="F115" s="16">
        <f t="shared" si="3"/>
        <v>1.1528608027327051E-2</v>
      </c>
      <c r="G115" s="40"/>
      <c r="H115" s="16"/>
      <c r="I115" s="16"/>
      <c r="L115" s="16"/>
    </row>
    <row r="116" spans="1:12">
      <c r="A116" s="1" t="s">
        <v>3579</v>
      </c>
      <c r="B116" s="7">
        <v>45.93</v>
      </c>
      <c r="C116" s="7">
        <v>47.68</v>
      </c>
      <c r="D116" s="16">
        <f t="shared" si="2"/>
        <v>3.8101458741563246E-2</v>
      </c>
      <c r="E116" s="9">
        <v>46.84</v>
      </c>
      <c r="F116" s="16">
        <f t="shared" si="3"/>
        <v>1.7933390264730918E-2</v>
      </c>
      <c r="G116" s="40"/>
      <c r="H116" s="16"/>
      <c r="I116" s="16"/>
      <c r="L116" s="16"/>
    </row>
    <row r="117" spans="1:12">
      <c r="A117" s="1" t="s">
        <v>3580</v>
      </c>
      <c r="B117" s="7">
        <v>46.1</v>
      </c>
      <c r="C117" s="7">
        <v>47.85</v>
      </c>
      <c r="D117" s="16">
        <f t="shared" si="2"/>
        <v>3.7960954446854663E-2</v>
      </c>
      <c r="E117" s="9">
        <v>46.84</v>
      </c>
      <c r="F117" s="16">
        <f t="shared" si="3"/>
        <v>2.1562766865926515E-2</v>
      </c>
      <c r="G117" s="40"/>
      <c r="H117" s="16"/>
      <c r="I117" s="16"/>
      <c r="L117" s="16"/>
    </row>
    <row r="118" spans="1:12">
      <c r="A118" s="1" t="s">
        <v>3593</v>
      </c>
      <c r="B118" s="7">
        <v>46.35</v>
      </c>
      <c r="C118" s="7">
        <v>48.1</v>
      </c>
      <c r="D118" s="16">
        <f t="shared" si="2"/>
        <v>3.7756202804746494E-2</v>
      </c>
      <c r="E118" s="9">
        <v>46.84</v>
      </c>
      <c r="F118" s="16">
        <f t="shared" si="3"/>
        <v>2.6900085397096454E-2</v>
      </c>
      <c r="G118" s="40"/>
      <c r="H118" s="16"/>
      <c r="I118" s="16"/>
      <c r="L118" s="16"/>
    </row>
    <row r="119" spans="1:12">
      <c r="A119" s="1" t="s">
        <v>3594</v>
      </c>
      <c r="B119" s="7">
        <v>46.94</v>
      </c>
      <c r="C119" s="7">
        <v>48.69</v>
      </c>
      <c r="D119" s="16">
        <f t="shared" si="2"/>
        <v>3.7281636131231359E-2</v>
      </c>
      <c r="E119" s="9">
        <v>46.84</v>
      </c>
      <c r="F119" s="16">
        <f t="shared" si="3"/>
        <v>3.9496157130657433E-2</v>
      </c>
      <c r="G119" s="40"/>
      <c r="H119" s="16"/>
      <c r="I119" s="16"/>
      <c r="L119" s="16"/>
    </row>
    <row r="120" spans="1:12">
      <c r="A120" s="1" t="s">
        <v>3595</v>
      </c>
      <c r="B120" s="7">
        <v>47.26</v>
      </c>
      <c r="C120" s="7">
        <v>49.01</v>
      </c>
      <c r="D120" s="16">
        <f t="shared" si="2"/>
        <v>3.7029200169276348E-2</v>
      </c>
      <c r="E120" s="9">
        <v>46.84</v>
      </c>
      <c r="F120" s="16">
        <f t="shared" si="3"/>
        <v>4.6327924850554959E-2</v>
      </c>
      <c r="G120" s="40"/>
      <c r="H120" s="16"/>
      <c r="I120" s="16"/>
      <c r="L120" s="16"/>
    </row>
    <row r="121" spans="1:12">
      <c r="A121" s="1" t="s">
        <v>3596</v>
      </c>
      <c r="B121" s="7">
        <v>47.61</v>
      </c>
      <c r="C121" s="7">
        <v>49.36</v>
      </c>
      <c r="D121" s="16">
        <f t="shared" si="2"/>
        <v>3.6756983826927117E-2</v>
      </c>
      <c r="E121" s="9">
        <v>46.84</v>
      </c>
      <c r="F121" s="16">
        <f t="shared" si="3"/>
        <v>5.3800170794192907E-2</v>
      </c>
      <c r="G121" s="40"/>
      <c r="H121" s="16"/>
      <c r="I121" s="16"/>
      <c r="L121" s="16"/>
    </row>
    <row r="122" spans="1:12">
      <c r="A122" s="1" t="s">
        <v>3597</v>
      </c>
      <c r="B122" s="7">
        <v>47.8</v>
      </c>
      <c r="C122" s="7">
        <v>49.55</v>
      </c>
      <c r="D122" s="16">
        <f t="shared" si="2"/>
        <v>3.6610878661087871E-2</v>
      </c>
      <c r="E122" s="9">
        <v>46.84</v>
      </c>
      <c r="F122" s="16">
        <f t="shared" si="3"/>
        <v>5.7856532877882012E-2</v>
      </c>
      <c r="G122" s="40"/>
      <c r="H122" s="16"/>
      <c r="I122" s="16"/>
      <c r="L122" s="16"/>
    </row>
    <row r="123" spans="1:12">
      <c r="A123" s="1" t="s">
        <v>3598</v>
      </c>
      <c r="B123" s="7">
        <v>48.04</v>
      </c>
      <c r="C123" s="7">
        <v>49.79</v>
      </c>
      <c r="D123" s="16">
        <f t="shared" si="2"/>
        <v>3.6427976686094925E-2</v>
      </c>
      <c r="E123" s="9">
        <v>46.84</v>
      </c>
      <c r="F123" s="16">
        <f t="shared" si="3"/>
        <v>6.29803586678052E-2</v>
      </c>
      <c r="G123" s="40"/>
      <c r="H123" s="16"/>
      <c r="I123" s="16"/>
      <c r="L123" s="16"/>
    </row>
    <row r="124" spans="1:12">
      <c r="A124" s="1" t="s">
        <v>3599</v>
      </c>
      <c r="B124" s="7">
        <v>49.68</v>
      </c>
      <c r="C124" s="7">
        <v>51.43</v>
      </c>
      <c r="D124" s="16">
        <f t="shared" si="2"/>
        <v>3.5225442834138483E-2</v>
      </c>
      <c r="E124" s="9">
        <v>46.84</v>
      </c>
      <c r="F124" s="16">
        <f t="shared" si="3"/>
        <v>9.799316823228002E-2</v>
      </c>
      <c r="G124" s="40"/>
      <c r="H124" s="16"/>
      <c r="I124" s="16"/>
      <c r="L124" s="16"/>
    </row>
    <row r="125" spans="1:12">
      <c r="A125" s="1" t="s">
        <v>3600</v>
      </c>
      <c r="B125" s="7">
        <v>50.49</v>
      </c>
      <c r="C125" s="7">
        <v>52.24</v>
      </c>
      <c r="D125" s="16">
        <f t="shared" si="2"/>
        <v>3.4660328777975834E-2</v>
      </c>
      <c r="E125" s="9">
        <v>46.84</v>
      </c>
      <c r="F125" s="16">
        <f t="shared" si="3"/>
        <v>0.11528608027327067</v>
      </c>
      <c r="G125" s="40"/>
      <c r="H125" s="16"/>
      <c r="I125" s="16"/>
      <c r="L125" s="16"/>
    </row>
    <row r="126" spans="1:12">
      <c r="A126" s="1" t="s">
        <v>3601</v>
      </c>
      <c r="B126" s="7">
        <v>49.68</v>
      </c>
      <c r="C126" s="7">
        <v>51.43</v>
      </c>
      <c r="D126" s="16">
        <f t="shared" si="2"/>
        <v>3.5225442834138483E-2</v>
      </c>
      <c r="E126" s="9">
        <v>46.84</v>
      </c>
      <c r="F126" s="16">
        <f t="shared" si="3"/>
        <v>9.799316823228002E-2</v>
      </c>
      <c r="G126" s="40"/>
      <c r="H126" s="16"/>
      <c r="I126" s="16"/>
      <c r="L126" s="16"/>
    </row>
    <row r="127" spans="1:12" ht="25.5">
      <c r="A127" s="1" t="s">
        <v>3602</v>
      </c>
      <c r="B127" s="11" t="s">
        <v>3534</v>
      </c>
      <c r="C127" s="11" t="s">
        <v>3534</v>
      </c>
      <c r="D127" s="16"/>
      <c r="E127" s="9"/>
      <c r="F127" s="16"/>
      <c r="G127" s="40"/>
      <c r="H127" s="16"/>
      <c r="I127" s="16"/>
      <c r="L127" s="16"/>
    </row>
    <row r="128" spans="1:12" ht="25.5">
      <c r="A128" s="1" t="s">
        <v>3603</v>
      </c>
      <c r="B128" s="11" t="s">
        <v>3534</v>
      </c>
      <c r="C128" s="11" t="s">
        <v>3534</v>
      </c>
      <c r="D128" s="16"/>
      <c r="E128" s="9"/>
      <c r="F128" s="16"/>
      <c r="G128" s="40"/>
      <c r="H128" s="16"/>
      <c r="I128" s="16"/>
      <c r="L128" s="16"/>
    </row>
    <row r="129" spans="1:12">
      <c r="A129" s="143"/>
      <c r="B129" s="143"/>
      <c r="C129" s="7"/>
      <c r="D129" s="16"/>
      <c r="E129" s="9"/>
      <c r="F129" s="16"/>
      <c r="G129" s="40"/>
      <c r="H129" s="16"/>
      <c r="I129" s="16"/>
      <c r="L129" s="16"/>
    </row>
    <row r="130" spans="1:12" ht="25.5" customHeight="1">
      <c r="A130" s="2" t="s">
        <v>3604</v>
      </c>
      <c r="B130" s="147" t="s">
        <v>3510</v>
      </c>
      <c r="C130" s="147" t="s">
        <v>3510</v>
      </c>
      <c r="D130" s="16"/>
      <c r="E130" s="9"/>
      <c r="F130" s="16"/>
      <c r="G130" s="40"/>
      <c r="H130" s="16"/>
      <c r="I130" s="16"/>
      <c r="L130" s="16"/>
    </row>
    <row r="131" spans="1:12" ht="12.75" customHeight="1">
      <c r="A131" s="3" t="s">
        <v>3569</v>
      </c>
      <c r="B131" s="147"/>
      <c r="C131" s="147"/>
      <c r="D131" s="16"/>
      <c r="E131" s="9"/>
      <c r="F131" s="16"/>
      <c r="G131" s="40"/>
      <c r="H131" s="16"/>
      <c r="I131" s="16"/>
      <c r="L131" s="16"/>
    </row>
    <row r="132" spans="1:12">
      <c r="A132" s="1" t="s">
        <v>3573</v>
      </c>
      <c r="B132" s="7">
        <v>56.63</v>
      </c>
      <c r="C132" s="7">
        <v>58.38</v>
      </c>
      <c r="D132" s="16">
        <f t="shared" ref="D132:D143" si="4">(C132-B132)/B132</f>
        <v>3.0902348578491962E-2</v>
      </c>
      <c r="E132" s="9">
        <v>46.84</v>
      </c>
      <c r="F132" s="16">
        <f t="shared" ref="F132:F143" si="5">(C132-E132)/E132</f>
        <v>0.24637062339880442</v>
      </c>
      <c r="G132" s="40"/>
      <c r="H132" s="16"/>
      <c r="I132" s="16"/>
      <c r="L132" s="16"/>
    </row>
    <row r="133" spans="1:12">
      <c r="A133" s="1" t="s">
        <v>3605</v>
      </c>
      <c r="B133" s="7">
        <v>50.46</v>
      </c>
      <c r="C133" s="7">
        <v>52.21</v>
      </c>
      <c r="D133" s="16">
        <f t="shared" si="4"/>
        <v>3.4680935394371781E-2</v>
      </c>
      <c r="E133" s="9">
        <v>46.84</v>
      </c>
      <c r="F133" s="16">
        <f t="shared" si="5"/>
        <v>0.11464560204953025</v>
      </c>
      <c r="G133" s="40"/>
      <c r="H133" s="16"/>
      <c r="I133" s="16"/>
      <c r="L133" s="16"/>
    </row>
    <row r="134" spans="1:12">
      <c r="A134" s="1" t="s">
        <v>3606</v>
      </c>
      <c r="B134" s="7">
        <v>48.5</v>
      </c>
      <c r="C134" s="7">
        <v>50.25</v>
      </c>
      <c r="D134" s="16">
        <f t="shared" si="4"/>
        <v>3.608247422680412E-2</v>
      </c>
      <c r="E134" s="9">
        <v>46.84</v>
      </c>
      <c r="F134" s="16">
        <f t="shared" si="5"/>
        <v>7.2801024765157901E-2</v>
      </c>
      <c r="G134" s="40"/>
      <c r="H134" s="16"/>
      <c r="I134" s="16"/>
      <c r="L134" s="16"/>
    </row>
    <row r="135" spans="1:12">
      <c r="A135" s="1" t="s">
        <v>3575</v>
      </c>
      <c r="B135" s="7">
        <v>55.12</v>
      </c>
      <c r="C135" s="7">
        <v>56.87</v>
      </c>
      <c r="D135" s="16">
        <f t="shared" si="4"/>
        <v>3.17489114658926E-2</v>
      </c>
      <c r="E135" s="9">
        <v>46.84</v>
      </c>
      <c r="F135" s="16">
        <f t="shared" si="5"/>
        <v>0.21413321947053787</v>
      </c>
      <c r="G135" s="40"/>
      <c r="H135" s="16"/>
      <c r="I135" s="16"/>
      <c r="L135" s="16"/>
    </row>
    <row r="136" spans="1:12">
      <c r="A136" s="1" t="s">
        <v>3607</v>
      </c>
      <c r="B136" s="7">
        <v>50.21</v>
      </c>
      <c r="C136" s="7">
        <v>51.96</v>
      </c>
      <c r="D136" s="16">
        <f t="shared" si="4"/>
        <v>3.4853614817765388E-2</v>
      </c>
      <c r="E136" s="9">
        <v>46.84</v>
      </c>
      <c r="F136" s="16">
        <f t="shared" si="5"/>
        <v>0.10930828351836032</v>
      </c>
      <c r="G136" s="40"/>
      <c r="H136" s="16"/>
      <c r="I136" s="16"/>
      <c r="L136" s="16"/>
    </row>
    <row r="137" spans="1:12">
      <c r="A137" s="1" t="s">
        <v>3608</v>
      </c>
      <c r="B137" s="7">
        <v>48.29</v>
      </c>
      <c r="C137" s="7">
        <v>50.04</v>
      </c>
      <c r="D137" s="16">
        <f t="shared" si="4"/>
        <v>3.6239387036653553E-2</v>
      </c>
      <c r="E137" s="9">
        <v>46.84</v>
      </c>
      <c r="F137" s="16">
        <f t="shared" si="5"/>
        <v>6.8317677198975135E-2</v>
      </c>
      <c r="G137" s="40"/>
      <c r="H137" s="16"/>
      <c r="I137" s="16"/>
      <c r="L137" s="16"/>
    </row>
    <row r="138" spans="1:12">
      <c r="A138" s="1" t="s">
        <v>3576</v>
      </c>
      <c r="B138" s="7">
        <v>53.88</v>
      </c>
      <c r="C138" s="7">
        <v>55.63</v>
      </c>
      <c r="D138" s="16">
        <f t="shared" si="4"/>
        <v>3.2479584261321456E-2</v>
      </c>
      <c r="E138" s="9">
        <v>46.84</v>
      </c>
      <c r="F138" s="16">
        <f t="shared" si="5"/>
        <v>0.18766011955593506</v>
      </c>
      <c r="G138" s="40"/>
      <c r="H138" s="16"/>
      <c r="I138" s="16"/>
      <c r="L138" s="16"/>
    </row>
    <row r="139" spans="1:12">
      <c r="A139" s="1" t="s">
        <v>3609</v>
      </c>
      <c r="B139" s="7">
        <v>49.99</v>
      </c>
      <c r="C139" s="7">
        <v>51.74</v>
      </c>
      <c r="D139" s="16">
        <f t="shared" si="4"/>
        <v>3.5007001400280055E-2</v>
      </c>
      <c r="E139" s="9">
        <v>46.84</v>
      </c>
      <c r="F139" s="16">
        <f t="shared" si="5"/>
        <v>0.10461144321093079</v>
      </c>
      <c r="G139" s="40"/>
      <c r="H139" s="16"/>
      <c r="I139" s="16"/>
      <c r="L139" s="16"/>
    </row>
    <row r="140" spans="1:12">
      <c r="A140" s="1" t="s">
        <v>3610</v>
      </c>
      <c r="B140" s="7">
        <v>48.07</v>
      </c>
      <c r="C140" s="7">
        <v>49.82</v>
      </c>
      <c r="D140" s="16">
        <f t="shared" si="4"/>
        <v>3.6405242354899107E-2</v>
      </c>
      <c r="E140" s="9">
        <v>46.84</v>
      </c>
      <c r="F140" s="16">
        <f t="shared" si="5"/>
        <v>6.3620836891545615E-2</v>
      </c>
      <c r="G140" s="40"/>
      <c r="H140" s="16"/>
      <c r="I140" s="16"/>
      <c r="L140" s="16"/>
    </row>
    <row r="141" spans="1:12">
      <c r="A141" s="1" t="s">
        <v>3611</v>
      </c>
      <c r="B141" s="7">
        <v>49.66</v>
      </c>
      <c r="C141" s="7">
        <v>51.41</v>
      </c>
      <c r="D141" s="16">
        <f t="shared" si="4"/>
        <v>3.5239629480467181E-2</v>
      </c>
      <c r="E141" s="9">
        <v>46.84</v>
      </c>
      <c r="F141" s="16">
        <f t="shared" si="5"/>
        <v>9.7566182749786359E-2</v>
      </c>
      <c r="G141" s="40"/>
      <c r="H141" s="16"/>
      <c r="I141" s="16"/>
      <c r="L141" s="16"/>
    </row>
    <row r="142" spans="1:12">
      <c r="A142" s="1" t="s">
        <v>3577</v>
      </c>
      <c r="B142" s="7">
        <v>52.15</v>
      </c>
      <c r="C142" s="7">
        <v>53.9</v>
      </c>
      <c r="D142" s="16">
        <f t="shared" si="4"/>
        <v>3.3557046979865772E-2</v>
      </c>
      <c r="E142" s="9">
        <v>46.84</v>
      </c>
      <c r="F142" s="16">
        <f t="shared" si="5"/>
        <v>0.15072587532023901</v>
      </c>
      <c r="G142" s="40"/>
      <c r="H142" s="16"/>
      <c r="I142" s="16"/>
      <c r="L142" s="16"/>
    </row>
    <row r="143" spans="1:12">
      <c r="A143" s="1" t="s">
        <v>3579</v>
      </c>
      <c r="B143" s="7">
        <v>51.05</v>
      </c>
      <c r="C143" s="7">
        <v>52.8</v>
      </c>
      <c r="D143" s="16">
        <f t="shared" si="4"/>
        <v>3.4280117531831543E-2</v>
      </c>
      <c r="E143" s="9">
        <v>46.84</v>
      </c>
      <c r="F143" s="16">
        <f t="shared" si="5"/>
        <v>0.12724167378309123</v>
      </c>
      <c r="G143" s="40"/>
      <c r="H143" s="16"/>
      <c r="I143" s="16"/>
      <c r="L143" s="16"/>
    </row>
    <row r="144" spans="1:12" ht="25.5">
      <c r="A144" s="1" t="s">
        <v>3602</v>
      </c>
      <c r="B144" s="11" t="s">
        <v>3534</v>
      </c>
      <c r="C144" s="11" t="s">
        <v>3534</v>
      </c>
      <c r="D144" s="16"/>
      <c r="E144" s="9"/>
      <c r="F144" s="16"/>
      <c r="G144" s="40"/>
      <c r="H144" s="16"/>
      <c r="I144" s="16"/>
      <c r="L144" s="16"/>
    </row>
    <row r="145" spans="1:12" ht="25.5">
      <c r="A145" s="1" t="s">
        <v>3612</v>
      </c>
      <c r="B145" s="7"/>
      <c r="C145" s="7"/>
      <c r="D145" s="16"/>
      <c r="E145" s="9"/>
      <c r="F145" s="16"/>
      <c r="G145" s="40"/>
      <c r="H145" s="16"/>
      <c r="I145" s="16"/>
      <c r="L145" s="16"/>
    </row>
    <row r="146" spans="1:12">
      <c r="A146" s="1"/>
      <c r="B146" s="7"/>
      <c r="C146" s="7"/>
      <c r="D146" s="16"/>
      <c r="E146" s="9"/>
      <c r="F146" s="16"/>
      <c r="G146" s="40"/>
      <c r="H146" s="16"/>
      <c r="I146" s="16"/>
      <c r="L146" s="16"/>
    </row>
    <row r="147" spans="1:12" ht="25.5" customHeight="1">
      <c r="A147" s="2" t="s">
        <v>3613</v>
      </c>
      <c r="B147" s="147" t="s">
        <v>3510</v>
      </c>
      <c r="C147" s="147" t="s">
        <v>3510</v>
      </c>
      <c r="D147" s="16"/>
      <c r="E147" s="9"/>
      <c r="F147" s="16"/>
      <c r="G147" s="23" t="s">
        <v>3983</v>
      </c>
      <c r="H147" s="16"/>
      <c r="I147" s="16"/>
      <c r="L147" s="16"/>
    </row>
    <row r="148" spans="1:12" ht="12.75" customHeight="1">
      <c r="A148" s="3" t="s">
        <v>3569</v>
      </c>
      <c r="B148" s="147"/>
      <c r="C148" s="147"/>
      <c r="D148" s="16"/>
      <c r="E148" s="9"/>
      <c r="F148" s="16"/>
      <c r="G148" s="40"/>
      <c r="H148" s="16"/>
      <c r="I148" s="16"/>
      <c r="L148" s="16"/>
    </row>
    <row r="149" spans="1:12">
      <c r="A149" s="1" t="s">
        <v>3573</v>
      </c>
      <c r="B149" s="7">
        <v>56.1</v>
      </c>
      <c r="C149" s="7">
        <v>57.85</v>
      </c>
      <c r="D149" s="16">
        <f t="shared" ref="D149:D162" si="6">(C149-B149)/B149</f>
        <v>3.1194295900178252E-2</v>
      </c>
      <c r="E149" s="9">
        <v>46.84</v>
      </c>
      <c r="F149" s="16">
        <f t="shared" ref="F149:F162" si="7">(C149-E149)/E149</f>
        <v>0.2350555081127241</v>
      </c>
      <c r="G149" s="40"/>
      <c r="H149" s="16"/>
      <c r="I149" s="16"/>
      <c r="L149" s="16"/>
    </row>
    <row r="150" spans="1:12">
      <c r="A150" s="1" t="s">
        <v>3605</v>
      </c>
      <c r="B150" s="7">
        <v>50.64</v>
      </c>
      <c r="C150" s="7">
        <v>52.39</v>
      </c>
      <c r="D150" s="16">
        <f t="shared" si="6"/>
        <v>3.4557661927330174E-2</v>
      </c>
      <c r="E150" s="9">
        <v>46.84</v>
      </c>
      <c r="F150" s="16">
        <f t="shared" si="7"/>
        <v>0.11848847139197261</v>
      </c>
      <c r="G150" s="40"/>
      <c r="H150" s="16"/>
      <c r="I150" s="16"/>
      <c r="L150" s="16"/>
    </row>
    <row r="151" spans="1:12">
      <c r="A151" s="1" t="s">
        <v>3606</v>
      </c>
      <c r="B151" s="7">
        <v>48.72</v>
      </c>
      <c r="C151" s="7">
        <v>50.47</v>
      </c>
      <c r="D151" s="16">
        <f t="shared" si="6"/>
        <v>3.5919540229885055E-2</v>
      </c>
      <c r="E151" s="9">
        <v>46.84</v>
      </c>
      <c r="F151" s="16">
        <f t="shared" si="7"/>
        <v>7.7497865072587435E-2</v>
      </c>
      <c r="G151" s="40"/>
      <c r="H151" s="16"/>
      <c r="I151" s="16"/>
      <c r="L151" s="16"/>
    </row>
    <row r="152" spans="1:12">
      <c r="A152" s="1" t="s">
        <v>3575</v>
      </c>
      <c r="B152" s="7">
        <v>54.56</v>
      </c>
      <c r="C152" s="7">
        <v>56.31</v>
      </c>
      <c r="D152" s="16">
        <f t="shared" si="6"/>
        <v>3.2074780058651026E-2</v>
      </c>
      <c r="E152" s="9">
        <v>46.84</v>
      </c>
      <c r="F152" s="16">
        <f t="shared" si="7"/>
        <v>0.20217762596071728</v>
      </c>
      <c r="G152" s="40"/>
      <c r="H152" s="16"/>
      <c r="I152" s="16"/>
      <c r="L152" s="16"/>
    </row>
    <row r="153" spans="1:12">
      <c r="A153" s="1" t="s">
        <v>3607</v>
      </c>
      <c r="B153" s="7">
        <v>50.43</v>
      </c>
      <c r="C153" s="7">
        <v>52.18</v>
      </c>
      <c r="D153" s="16">
        <f t="shared" si="6"/>
        <v>3.4701566527860397E-2</v>
      </c>
      <c r="E153" s="9">
        <v>46.84</v>
      </c>
      <c r="F153" s="16">
        <f t="shared" si="7"/>
        <v>0.11400512382578984</v>
      </c>
      <c r="G153" s="40"/>
      <c r="H153" s="16"/>
      <c r="I153" s="16"/>
      <c r="L153" s="16"/>
    </row>
    <row r="154" spans="1:12">
      <c r="A154" s="1" t="s">
        <v>3608</v>
      </c>
      <c r="B154" s="7">
        <v>48.52</v>
      </c>
      <c r="C154" s="7">
        <v>50.27</v>
      </c>
      <c r="D154" s="16">
        <f t="shared" si="6"/>
        <v>3.6067600989282765E-2</v>
      </c>
      <c r="E154" s="9">
        <v>46.84</v>
      </c>
      <c r="F154" s="16">
        <f t="shared" si="7"/>
        <v>7.3228010247651562E-2</v>
      </c>
      <c r="G154" s="40"/>
      <c r="H154" s="16"/>
      <c r="I154" s="16"/>
      <c r="L154" s="16"/>
    </row>
    <row r="155" spans="1:12">
      <c r="A155" s="1" t="s">
        <v>3576</v>
      </c>
      <c r="B155" s="7">
        <v>53.11</v>
      </c>
      <c r="C155" s="7">
        <v>54.86</v>
      </c>
      <c r="D155" s="16">
        <f t="shared" si="6"/>
        <v>3.2950480135567693E-2</v>
      </c>
      <c r="E155" s="9">
        <v>46.84</v>
      </c>
      <c r="F155" s="16">
        <f t="shared" si="7"/>
        <v>0.1712211784799316</v>
      </c>
      <c r="G155" s="40"/>
      <c r="H155" s="16"/>
      <c r="I155" s="16"/>
      <c r="L155" s="16"/>
    </row>
    <row r="156" spans="1:12">
      <c r="A156" s="1" t="s">
        <v>3609</v>
      </c>
      <c r="B156" s="7">
        <v>50.21</v>
      </c>
      <c r="C156" s="7">
        <v>51.96</v>
      </c>
      <c r="D156" s="16">
        <f t="shared" si="6"/>
        <v>3.4853614817765388E-2</v>
      </c>
      <c r="E156" s="9">
        <v>46.84</v>
      </c>
      <c r="F156" s="16">
        <f t="shared" si="7"/>
        <v>0.10930828351836032</v>
      </c>
      <c r="G156" s="40"/>
      <c r="H156" s="16"/>
      <c r="I156" s="16"/>
      <c r="L156" s="16"/>
    </row>
    <row r="157" spans="1:12">
      <c r="A157" s="1" t="s">
        <v>3610</v>
      </c>
      <c r="B157" s="7">
        <v>48.29</v>
      </c>
      <c r="C157" s="7">
        <v>50.04</v>
      </c>
      <c r="D157" s="16">
        <f t="shared" si="6"/>
        <v>3.6239387036653553E-2</v>
      </c>
      <c r="E157" s="9">
        <v>46.84</v>
      </c>
      <c r="F157" s="16">
        <f t="shared" si="7"/>
        <v>6.8317677198975135E-2</v>
      </c>
      <c r="G157" s="40"/>
      <c r="H157" s="16"/>
      <c r="I157" s="16"/>
      <c r="L157" s="16"/>
    </row>
    <row r="158" spans="1:12">
      <c r="A158" s="1" t="s">
        <v>3577</v>
      </c>
      <c r="B158" s="7">
        <v>51.6</v>
      </c>
      <c r="C158" s="7">
        <v>53.35</v>
      </c>
      <c r="D158" s="16">
        <f t="shared" si="6"/>
        <v>3.391472868217054E-2</v>
      </c>
      <c r="E158" s="9">
        <v>46.84</v>
      </c>
      <c r="F158" s="16">
        <f t="shared" si="7"/>
        <v>0.13898377455166519</v>
      </c>
      <c r="G158" s="40"/>
      <c r="H158" s="16"/>
      <c r="I158" s="16"/>
      <c r="L158" s="16"/>
    </row>
    <row r="159" spans="1:12">
      <c r="A159" s="1" t="s">
        <v>3579</v>
      </c>
      <c r="B159" s="7">
        <v>50.49</v>
      </c>
      <c r="C159" s="7">
        <v>52.24</v>
      </c>
      <c r="D159" s="16">
        <f t="shared" si="6"/>
        <v>3.4660328777975834E-2</v>
      </c>
      <c r="E159" s="9">
        <v>46.84</v>
      </c>
      <c r="F159" s="16">
        <f t="shared" si="7"/>
        <v>0.11528608027327067</v>
      </c>
      <c r="G159" s="40"/>
      <c r="H159" s="16"/>
      <c r="I159" s="16"/>
      <c r="L159" s="16"/>
    </row>
    <row r="160" spans="1:12">
      <c r="A160" s="1" t="s">
        <v>3580</v>
      </c>
      <c r="B160" s="7">
        <v>49.38</v>
      </c>
      <c r="C160" s="7">
        <v>51.13</v>
      </c>
      <c r="D160" s="16">
        <f t="shared" si="6"/>
        <v>3.5439449169704332E-2</v>
      </c>
      <c r="E160" s="9">
        <v>46.84</v>
      </c>
      <c r="F160" s="16">
        <f t="shared" si="7"/>
        <v>9.1588385994876148E-2</v>
      </c>
      <c r="G160" s="40"/>
      <c r="H160" s="16"/>
      <c r="I160" s="16"/>
      <c r="L160" s="16"/>
    </row>
    <row r="161" spans="1:12">
      <c r="A161" s="1" t="s">
        <v>3593</v>
      </c>
      <c r="B161" s="7">
        <v>48.42</v>
      </c>
      <c r="C161" s="7">
        <v>50.17</v>
      </c>
      <c r="D161" s="16">
        <f t="shared" si="6"/>
        <v>3.6142090045435768E-2</v>
      </c>
      <c r="E161" s="9">
        <v>46.84</v>
      </c>
      <c r="F161" s="16">
        <f t="shared" si="7"/>
        <v>7.1093082835183563E-2</v>
      </c>
      <c r="G161" s="40"/>
      <c r="H161" s="16"/>
      <c r="I161" s="16"/>
      <c r="L161" s="16"/>
    </row>
    <row r="162" spans="1:12">
      <c r="A162" s="1" t="s">
        <v>3594</v>
      </c>
      <c r="B162" s="7">
        <v>47.46</v>
      </c>
      <c r="C162" s="7">
        <v>49.21</v>
      </c>
      <c r="D162" s="16">
        <f t="shared" si="6"/>
        <v>3.687315634218289E-2</v>
      </c>
      <c r="E162" s="9">
        <v>46.84</v>
      </c>
      <c r="F162" s="16">
        <f t="shared" si="7"/>
        <v>5.0597779675490978E-2</v>
      </c>
      <c r="G162" s="40"/>
      <c r="H162" s="16"/>
      <c r="I162" s="16"/>
      <c r="L162" s="16"/>
    </row>
    <row r="163" spans="1:12">
      <c r="A163" s="1" t="s">
        <v>3614</v>
      </c>
      <c r="B163" s="11">
        <v>0</v>
      </c>
      <c r="C163" s="11">
        <v>0</v>
      </c>
      <c r="D163" s="16"/>
      <c r="E163" s="9"/>
      <c r="F163" s="16"/>
      <c r="G163" s="40"/>
      <c r="H163" s="16"/>
      <c r="I163" s="16"/>
      <c r="L163" s="16"/>
    </row>
    <row r="164" spans="1:12">
      <c r="A164" s="1" t="s">
        <v>3615</v>
      </c>
      <c r="B164" s="11" t="s">
        <v>3534</v>
      </c>
      <c r="C164" s="11" t="s">
        <v>3534</v>
      </c>
      <c r="D164" s="16"/>
      <c r="E164" s="9"/>
      <c r="F164" s="16"/>
      <c r="G164" s="40"/>
      <c r="H164" s="16"/>
      <c r="I164" s="16"/>
      <c r="L164" s="16"/>
    </row>
    <row r="165" spans="1:12">
      <c r="A165" s="1"/>
      <c r="B165" s="7"/>
      <c r="C165" s="7"/>
      <c r="D165" s="16"/>
      <c r="E165" s="9"/>
      <c r="F165" s="16"/>
      <c r="G165" s="40"/>
      <c r="H165" s="16"/>
      <c r="I165" s="16"/>
      <c r="L165" s="16"/>
    </row>
    <row r="166" spans="1:12">
      <c r="A166" s="1"/>
      <c r="B166" s="7"/>
      <c r="C166" s="7"/>
      <c r="D166" s="16"/>
      <c r="E166" s="9"/>
      <c r="F166" s="16"/>
      <c r="G166" s="40"/>
      <c r="H166" s="16"/>
      <c r="I166" s="16"/>
      <c r="L166" s="16"/>
    </row>
    <row r="167" spans="1:12" ht="12.75" customHeight="1">
      <c r="A167" s="144" t="s">
        <v>3616</v>
      </c>
      <c r="B167" s="144"/>
      <c r="C167" s="31" t="s">
        <v>3479</v>
      </c>
      <c r="D167" s="43"/>
      <c r="E167" s="44"/>
      <c r="F167" s="43"/>
      <c r="G167" s="23" t="s">
        <v>3983</v>
      </c>
      <c r="H167" s="43">
        <f>AVERAGE(F168:F174)</f>
        <v>2.053842813721244E-2</v>
      </c>
      <c r="I167" s="43"/>
      <c r="J167" s="8"/>
      <c r="K167" s="8"/>
      <c r="L167" s="43"/>
    </row>
    <row r="168" spans="1:12">
      <c r="A168" s="1" t="s">
        <v>3617</v>
      </c>
      <c r="B168" s="7">
        <v>32.74</v>
      </c>
      <c r="C168" s="7">
        <v>32.74</v>
      </c>
      <c r="D168" s="16">
        <f t="shared" ref="D168:D175" si="8">(C168-B168)/B168</f>
        <v>0</v>
      </c>
      <c r="E168" s="9">
        <v>32.9</v>
      </c>
      <c r="F168" s="16">
        <f t="shared" ref="F168:F174" si="9">(C168-E168)/E168</f>
        <v>-4.8632218844983765E-3</v>
      </c>
      <c r="G168" s="40"/>
      <c r="H168" s="16"/>
      <c r="I168" s="16"/>
      <c r="L168" s="16"/>
    </row>
    <row r="169" spans="1:12">
      <c r="A169" s="1" t="s">
        <v>3618</v>
      </c>
      <c r="B169" s="7">
        <v>33.590000000000003</v>
      </c>
      <c r="C169" s="7">
        <v>33.590000000000003</v>
      </c>
      <c r="D169" s="16">
        <f t="shared" si="8"/>
        <v>0</v>
      </c>
      <c r="E169" s="9">
        <v>32.9</v>
      </c>
      <c r="F169" s="16">
        <f t="shared" si="9"/>
        <v>2.0972644376899843E-2</v>
      </c>
      <c r="G169" s="40"/>
      <c r="H169" s="16"/>
      <c r="I169" s="16"/>
      <c r="L169" s="16"/>
    </row>
    <row r="170" spans="1:12">
      <c r="A170" s="1" t="s">
        <v>3619</v>
      </c>
      <c r="B170" s="7">
        <v>33.24</v>
      </c>
      <c r="C170" s="7">
        <v>33.24</v>
      </c>
      <c r="D170" s="16">
        <f t="shared" si="8"/>
        <v>0</v>
      </c>
      <c r="E170" s="9">
        <v>32.9</v>
      </c>
      <c r="F170" s="16">
        <f t="shared" si="9"/>
        <v>1.0334346504559375E-2</v>
      </c>
      <c r="G170" s="40"/>
      <c r="H170" s="16"/>
      <c r="I170" s="16"/>
      <c r="L170" s="16"/>
    </row>
    <row r="171" spans="1:12">
      <c r="A171" s="1" t="s">
        <v>3620</v>
      </c>
      <c r="B171" s="7">
        <v>33.74</v>
      </c>
      <c r="C171" s="7">
        <v>33.74</v>
      </c>
      <c r="D171" s="16">
        <f t="shared" si="8"/>
        <v>0</v>
      </c>
      <c r="E171" s="9">
        <v>32.9</v>
      </c>
      <c r="F171" s="16">
        <f t="shared" si="9"/>
        <v>2.5531914893617128E-2</v>
      </c>
      <c r="G171" s="40"/>
      <c r="H171" s="16"/>
      <c r="I171" s="16"/>
      <c r="L171" s="16"/>
    </row>
    <row r="172" spans="1:12">
      <c r="A172" s="1" t="s">
        <v>3621</v>
      </c>
      <c r="B172" s="7">
        <v>34.74</v>
      </c>
      <c r="C172" s="7">
        <v>34.74</v>
      </c>
      <c r="D172" s="16">
        <f t="shared" si="8"/>
        <v>0</v>
      </c>
      <c r="E172" s="9">
        <v>32.9</v>
      </c>
      <c r="F172" s="16">
        <f t="shared" si="9"/>
        <v>5.5927051671732626E-2</v>
      </c>
      <c r="G172" s="40"/>
      <c r="H172" s="16"/>
      <c r="I172" s="16"/>
      <c r="L172" s="16"/>
    </row>
    <row r="173" spans="1:12">
      <c r="A173" s="1" t="s">
        <v>3622</v>
      </c>
      <c r="B173" s="7">
        <v>33.24</v>
      </c>
      <c r="C173" s="7">
        <v>33.24</v>
      </c>
      <c r="D173" s="16">
        <f t="shared" si="8"/>
        <v>0</v>
      </c>
      <c r="E173" s="9">
        <v>32.9</v>
      </c>
      <c r="F173" s="16">
        <f t="shared" si="9"/>
        <v>1.0334346504559375E-2</v>
      </c>
      <c r="G173" s="40"/>
      <c r="H173" s="16"/>
      <c r="I173" s="16"/>
      <c r="L173" s="16"/>
    </row>
    <row r="174" spans="1:12">
      <c r="A174" s="1" t="s">
        <v>3623</v>
      </c>
      <c r="B174" s="7">
        <v>33.74</v>
      </c>
      <c r="C174" s="7">
        <v>33.74</v>
      </c>
      <c r="D174" s="16">
        <f t="shared" si="8"/>
        <v>0</v>
      </c>
      <c r="E174" s="9">
        <v>32.9</v>
      </c>
      <c r="F174" s="16">
        <f t="shared" si="9"/>
        <v>2.5531914893617128E-2</v>
      </c>
      <c r="G174" s="40"/>
      <c r="H174" s="16"/>
      <c r="I174" s="16"/>
      <c r="L174" s="16"/>
    </row>
    <row r="175" spans="1:12" ht="25.5">
      <c r="A175" s="1" t="s">
        <v>3624</v>
      </c>
      <c r="B175" s="7">
        <v>33.99</v>
      </c>
      <c r="C175" s="7">
        <v>33.99</v>
      </c>
      <c r="D175" s="16">
        <f t="shared" si="8"/>
        <v>0</v>
      </c>
      <c r="E175" s="9"/>
      <c r="F175" s="16"/>
      <c r="G175" s="40"/>
      <c r="H175" s="16"/>
      <c r="I175" s="16"/>
      <c r="L175" s="16"/>
    </row>
    <row r="176" spans="1:12" ht="12.75" customHeight="1">
      <c r="A176" s="143" t="s">
        <v>3943</v>
      </c>
      <c r="B176" s="143"/>
      <c r="C176" s="7"/>
      <c r="D176" s="16"/>
      <c r="E176" s="9"/>
      <c r="F176" s="16"/>
      <c r="G176" s="40"/>
      <c r="H176" s="16"/>
      <c r="I176" s="16"/>
      <c r="L176" s="16"/>
    </row>
    <row r="177" spans="1:12">
      <c r="A177" s="143"/>
      <c r="B177" s="143"/>
      <c r="C177" s="7"/>
      <c r="D177" s="16"/>
      <c r="E177" s="9"/>
      <c r="F177" s="16"/>
      <c r="G177" s="40"/>
      <c r="H177" s="16"/>
      <c r="I177" s="16"/>
      <c r="L177" s="16"/>
    </row>
    <row r="178" spans="1:12" ht="12.75" customHeight="1">
      <c r="A178" s="144" t="s">
        <v>3626</v>
      </c>
      <c r="B178" s="144"/>
      <c r="C178" s="10"/>
      <c r="D178" s="16"/>
      <c r="E178" s="9"/>
      <c r="F178" s="16"/>
      <c r="G178" s="40"/>
      <c r="H178" s="16"/>
      <c r="I178" s="16"/>
      <c r="L178" s="16"/>
    </row>
    <row r="179" spans="1:12">
      <c r="A179" s="1" t="s">
        <v>3627</v>
      </c>
      <c r="B179" s="7">
        <v>58.47</v>
      </c>
      <c r="C179" s="7">
        <v>58.47</v>
      </c>
      <c r="D179" s="16">
        <f>(C179-B179)/B179</f>
        <v>0</v>
      </c>
      <c r="E179" s="9"/>
      <c r="F179" s="16"/>
      <c r="G179" s="40"/>
      <c r="H179" s="16"/>
      <c r="I179" s="16"/>
      <c r="L179" s="16"/>
    </row>
    <row r="180" spans="1:12">
      <c r="A180" s="1" t="s">
        <v>3628</v>
      </c>
      <c r="B180" s="7">
        <v>62.05</v>
      </c>
      <c r="C180" s="7">
        <v>62.05</v>
      </c>
      <c r="D180" s="16">
        <f>(C180-B180)/B180</f>
        <v>0</v>
      </c>
      <c r="E180" s="9"/>
      <c r="F180" s="16"/>
      <c r="G180" s="40"/>
      <c r="H180" s="16"/>
      <c r="I180" s="16"/>
      <c r="L180" s="16"/>
    </row>
    <row r="181" spans="1:12">
      <c r="A181" s="1"/>
      <c r="B181" s="7"/>
      <c r="C181" s="7"/>
      <c r="D181" s="16"/>
      <c r="E181" s="9"/>
      <c r="F181" s="16"/>
      <c r="G181" s="40"/>
      <c r="H181" s="16"/>
      <c r="I181" s="16"/>
      <c r="L181" s="16"/>
    </row>
    <row r="182" spans="1:12" ht="38.25">
      <c r="A182" s="2" t="s">
        <v>3629</v>
      </c>
      <c r="B182" s="12" t="s">
        <v>3510</v>
      </c>
      <c r="C182" s="55" t="s">
        <v>3480</v>
      </c>
      <c r="D182" s="43"/>
      <c r="E182" s="44"/>
      <c r="F182" s="43"/>
      <c r="G182" s="23" t="s">
        <v>3983</v>
      </c>
      <c r="H182" s="43">
        <f>AVERAGE(F183)</f>
        <v>-1.4735052422782545E-2</v>
      </c>
      <c r="I182" s="43"/>
      <c r="J182" s="8"/>
      <c r="K182" s="8"/>
      <c r="L182" s="43"/>
    </row>
    <row r="183" spans="1:12">
      <c r="A183" s="1" t="s">
        <v>3694</v>
      </c>
      <c r="B183" s="7">
        <v>34.270000000000003</v>
      </c>
      <c r="C183" s="7">
        <v>34.770000000000003</v>
      </c>
      <c r="D183" s="16">
        <f>(C183-B183)/B183</f>
        <v>1.4590020426028595E-2</v>
      </c>
      <c r="E183" s="9">
        <v>35.29</v>
      </c>
      <c r="F183" s="16">
        <f>(C183-E183)/E183</f>
        <v>-1.4735052422782545E-2</v>
      </c>
      <c r="G183" s="40"/>
      <c r="H183" s="16"/>
      <c r="I183" s="16"/>
      <c r="L183" s="16"/>
    </row>
    <row r="184" spans="1:12">
      <c r="A184" s="1"/>
      <c r="B184" s="7"/>
      <c r="C184" s="7"/>
      <c r="D184" s="16"/>
      <c r="E184" s="9"/>
      <c r="F184" s="16"/>
      <c r="G184" s="40"/>
      <c r="H184" s="16"/>
      <c r="I184" s="16"/>
      <c r="L184" s="16"/>
    </row>
    <row r="185" spans="1:12">
      <c r="A185" s="2" t="s">
        <v>3632</v>
      </c>
      <c r="B185" s="11" t="s">
        <v>3534</v>
      </c>
      <c r="C185" s="31" t="s">
        <v>3479</v>
      </c>
      <c r="D185" s="43"/>
      <c r="E185" s="44"/>
      <c r="F185" s="43"/>
      <c r="G185" s="23" t="s">
        <v>3984</v>
      </c>
      <c r="H185" s="43"/>
      <c r="I185" s="43">
        <f>AVERAGE(F186)</f>
        <v>-0.16776171703898374</v>
      </c>
      <c r="J185" s="8"/>
      <c r="K185" s="8"/>
      <c r="L185" s="43"/>
    </row>
    <row r="186" spans="1:12">
      <c r="A186" s="1" t="s">
        <v>3926</v>
      </c>
      <c r="B186" s="7">
        <v>36.24</v>
      </c>
      <c r="C186" s="7">
        <v>19</v>
      </c>
      <c r="D186" s="16">
        <f>(C186-B186)/B186</f>
        <v>-0.47571743929359828</v>
      </c>
      <c r="E186" s="9">
        <v>22.83</v>
      </c>
      <c r="F186" s="16">
        <f>(C186-E186)/E186</f>
        <v>-0.16776171703898374</v>
      </c>
      <c r="G186" s="40"/>
      <c r="H186" s="16"/>
      <c r="I186" s="16"/>
      <c r="L186" s="16"/>
    </row>
    <row r="187" spans="1:12">
      <c r="A187" s="1"/>
      <c r="B187" s="7"/>
      <c r="C187" s="7"/>
      <c r="D187" s="16"/>
      <c r="E187" s="9"/>
      <c r="F187" s="16"/>
      <c r="G187" s="40"/>
      <c r="H187" s="16"/>
      <c r="I187" s="16"/>
      <c r="L187" s="16"/>
    </row>
    <row r="188" spans="1:12">
      <c r="A188" s="2" t="s">
        <v>3636</v>
      </c>
      <c r="B188" s="11" t="s">
        <v>3534</v>
      </c>
      <c r="C188" s="31" t="s">
        <v>3479</v>
      </c>
      <c r="D188" s="43"/>
      <c r="E188" s="44"/>
      <c r="F188" s="43"/>
      <c r="G188" s="23" t="s">
        <v>3984</v>
      </c>
      <c r="H188" s="43"/>
      <c r="I188" s="43">
        <f>AVERAGE(F189:F191)</f>
        <v>0</v>
      </c>
      <c r="J188" s="8"/>
      <c r="K188" s="8"/>
      <c r="L188" s="43"/>
    </row>
    <row r="189" spans="1:12">
      <c r="A189" s="1" t="s">
        <v>3637</v>
      </c>
      <c r="B189" s="7">
        <v>27.55</v>
      </c>
      <c r="C189" s="7">
        <v>19</v>
      </c>
      <c r="D189" s="16">
        <f>(C189-B189)/B189</f>
        <v>-0.31034482758620691</v>
      </c>
      <c r="E189" s="9">
        <v>19</v>
      </c>
      <c r="F189" s="16">
        <f>(C189-E189)/E189</f>
        <v>0</v>
      </c>
      <c r="G189" s="40"/>
      <c r="H189" s="16"/>
      <c r="I189" s="16"/>
      <c r="L189" s="16"/>
    </row>
    <row r="190" spans="1:12">
      <c r="A190" s="1" t="s">
        <v>3877</v>
      </c>
      <c r="B190" s="7">
        <v>27.55</v>
      </c>
      <c r="C190" s="7">
        <v>19</v>
      </c>
      <c r="D190" s="16">
        <f>(C190-B190)/B190</f>
        <v>-0.31034482758620691</v>
      </c>
      <c r="E190" s="9">
        <v>19</v>
      </c>
      <c r="F190" s="16">
        <f>(C190-E190)/E190</f>
        <v>0</v>
      </c>
      <c r="G190" s="40"/>
      <c r="H190" s="16"/>
      <c r="I190" s="16"/>
      <c r="L190" s="16"/>
    </row>
    <row r="191" spans="1:12">
      <c r="A191" s="1" t="s">
        <v>3878</v>
      </c>
      <c r="B191" s="7">
        <v>27.55</v>
      </c>
      <c r="C191" s="7">
        <v>19</v>
      </c>
      <c r="D191" s="16">
        <f>(C191-B191)/B191</f>
        <v>-0.31034482758620691</v>
      </c>
      <c r="E191" s="9">
        <v>19</v>
      </c>
      <c r="F191" s="16">
        <f>(C191-E191)/E191</f>
        <v>0</v>
      </c>
      <c r="G191" s="40"/>
      <c r="H191" s="16"/>
      <c r="I191" s="16"/>
      <c r="L191" s="16"/>
    </row>
    <row r="192" spans="1:12">
      <c r="A192" s="1"/>
      <c r="B192" s="7"/>
      <c r="C192" s="7"/>
      <c r="D192" s="16"/>
      <c r="E192" s="9"/>
      <c r="F192" s="16"/>
      <c r="G192" s="40"/>
      <c r="H192" s="16"/>
      <c r="I192" s="16"/>
      <c r="L192" s="16"/>
    </row>
    <row r="193" spans="1:12">
      <c r="A193" s="2" t="s">
        <v>3879</v>
      </c>
      <c r="B193" s="150" t="s">
        <v>3534</v>
      </c>
      <c r="C193" s="31"/>
      <c r="D193" s="43"/>
      <c r="E193" s="44"/>
      <c r="F193" s="43"/>
      <c r="G193" s="23" t="s">
        <v>3984</v>
      </c>
      <c r="H193" s="43"/>
      <c r="I193" s="43">
        <f>AVERAGE(F195)</f>
        <v>0</v>
      </c>
      <c r="J193" s="8"/>
      <c r="K193" s="8"/>
      <c r="L193" s="43"/>
    </row>
    <row r="194" spans="1:12">
      <c r="A194" s="1" t="s">
        <v>3880</v>
      </c>
      <c r="B194" s="150"/>
      <c r="C194" s="11"/>
      <c r="D194" s="16"/>
      <c r="E194" s="9"/>
      <c r="F194" s="16"/>
      <c r="H194" s="16"/>
      <c r="I194" s="16"/>
      <c r="L194" s="16"/>
    </row>
    <row r="195" spans="1:12">
      <c r="A195" s="1" t="s">
        <v>3915</v>
      </c>
      <c r="B195" s="7">
        <v>16.04</v>
      </c>
      <c r="C195" s="7">
        <v>18.73</v>
      </c>
      <c r="D195" s="16">
        <f>(C195-B195)/B195</f>
        <v>0.16770573566084798</v>
      </c>
      <c r="E195" s="9">
        <v>18.73</v>
      </c>
      <c r="F195" s="16">
        <f>(C195-E195)/E195</f>
        <v>0</v>
      </c>
      <c r="G195" s="40"/>
      <c r="H195" s="16"/>
      <c r="I195" s="16"/>
      <c r="L195" s="16"/>
    </row>
    <row r="196" spans="1:12">
      <c r="A196" s="1"/>
      <c r="B196" s="7"/>
      <c r="C196" s="7"/>
      <c r="D196" s="16"/>
      <c r="E196" s="9"/>
      <c r="F196" s="16"/>
      <c r="G196" s="40"/>
      <c r="H196" s="16"/>
      <c r="I196" s="16"/>
      <c r="L196" s="16"/>
    </row>
    <row r="197" spans="1:12">
      <c r="A197" s="2" t="s">
        <v>3640</v>
      </c>
      <c r="B197" s="7"/>
      <c r="C197" s="31" t="s">
        <v>3479</v>
      </c>
      <c r="D197" s="43"/>
      <c r="E197" s="44"/>
      <c r="F197" s="43"/>
      <c r="G197" s="23" t="s">
        <v>3984</v>
      </c>
      <c r="H197" s="43"/>
      <c r="I197" s="43">
        <f>AVERAGE(F198)</f>
        <v>-0.26847110460863205</v>
      </c>
      <c r="J197" s="8"/>
      <c r="K197" s="8"/>
      <c r="L197" s="43"/>
    </row>
    <row r="198" spans="1:12">
      <c r="A198" s="1" t="s">
        <v>3697</v>
      </c>
      <c r="B198" s="7">
        <v>30</v>
      </c>
      <c r="C198" s="7">
        <v>20</v>
      </c>
      <c r="D198" s="16">
        <f>(C198-B198)/B198</f>
        <v>-0.33333333333333331</v>
      </c>
      <c r="E198" s="9">
        <v>27.34</v>
      </c>
      <c r="F198" s="16">
        <f>(C198-E198)/E198</f>
        <v>-0.26847110460863205</v>
      </c>
      <c r="G198" s="40"/>
      <c r="H198" s="16"/>
      <c r="I198" s="16"/>
      <c r="L198" s="16"/>
    </row>
    <row r="199" spans="1:12">
      <c r="A199" s="1"/>
      <c r="B199" s="7"/>
      <c r="C199" s="7"/>
      <c r="D199" s="16"/>
      <c r="E199" s="9"/>
      <c r="F199" s="16"/>
      <c r="G199" s="40"/>
      <c r="H199" s="16"/>
      <c r="I199" s="16"/>
      <c r="L199" s="16"/>
    </row>
    <row r="200" spans="1:12">
      <c r="A200" s="2" t="s">
        <v>3644</v>
      </c>
      <c r="B200" s="11" t="s">
        <v>3534</v>
      </c>
      <c r="C200" s="31" t="s">
        <v>3479</v>
      </c>
      <c r="D200" s="43"/>
      <c r="E200" s="44"/>
      <c r="F200" s="43"/>
      <c r="G200" s="23" t="s">
        <v>3984</v>
      </c>
      <c r="H200" s="43"/>
      <c r="I200" s="43">
        <f>AVERAGE(F201:F203)</f>
        <v>-0.42580840132970693</v>
      </c>
      <c r="J200" s="8"/>
      <c r="K200" s="8"/>
      <c r="L200" s="43"/>
    </row>
    <row r="201" spans="1:12">
      <c r="A201" s="1" t="s">
        <v>3645</v>
      </c>
      <c r="B201" s="7">
        <v>52.3</v>
      </c>
      <c r="C201" s="7">
        <v>19</v>
      </c>
      <c r="D201" s="16">
        <f>(C201-B201)/B201</f>
        <v>-0.6367112810707457</v>
      </c>
      <c r="E201" s="9">
        <v>33.090000000000003</v>
      </c>
      <c r="F201" s="16">
        <f>(C201-E201)/E201</f>
        <v>-0.42580840132970693</v>
      </c>
      <c r="G201" s="40"/>
      <c r="H201" s="16"/>
      <c r="I201" s="16"/>
      <c r="L201" s="16"/>
    </row>
    <row r="202" spans="1:12">
      <c r="A202" s="1" t="s">
        <v>3646</v>
      </c>
      <c r="B202" s="7">
        <v>55.05</v>
      </c>
      <c r="C202" s="7">
        <v>19</v>
      </c>
      <c r="D202" s="16">
        <f>(C202-B202)/B202</f>
        <v>-0.65485921889191645</v>
      </c>
      <c r="E202" s="9">
        <v>33.090000000000003</v>
      </c>
      <c r="F202" s="16">
        <f>(C202-E202)/E202</f>
        <v>-0.42580840132970693</v>
      </c>
      <c r="G202" s="40"/>
      <c r="H202" s="16"/>
      <c r="I202" s="16"/>
      <c r="L202" s="16"/>
    </row>
    <row r="203" spans="1:12">
      <c r="A203" s="1" t="s">
        <v>3647</v>
      </c>
      <c r="B203" s="7">
        <v>57.3</v>
      </c>
      <c r="C203" s="7">
        <v>19</v>
      </c>
      <c r="D203" s="16">
        <f>(C203-B203)/B203</f>
        <v>-0.66841186736474689</v>
      </c>
      <c r="E203" s="9">
        <v>33.090000000000003</v>
      </c>
      <c r="F203" s="16">
        <f>(C203-E203)/E203</f>
        <v>-0.42580840132970693</v>
      </c>
      <c r="G203" s="40"/>
      <c r="H203" s="16"/>
      <c r="I203" s="16"/>
      <c r="L203" s="16"/>
    </row>
    <row r="204" spans="1:12">
      <c r="A204" s="1"/>
      <c r="B204" s="7"/>
      <c r="C204" s="7"/>
      <c r="D204" s="16"/>
      <c r="E204" s="9"/>
      <c r="F204" s="16"/>
      <c r="G204" s="40"/>
      <c r="H204" s="16"/>
      <c r="I204" s="16"/>
      <c r="L204" s="16"/>
    </row>
    <row r="205" spans="1:12">
      <c r="A205" s="2" t="s">
        <v>3648</v>
      </c>
      <c r="B205" s="7"/>
      <c r="C205" s="31" t="s">
        <v>3487</v>
      </c>
      <c r="D205" s="43"/>
      <c r="E205" s="44"/>
      <c r="F205" s="43"/>
      <c r="G205" s="23" t="s">
        <v>3984</v>
      </c>
      <c r="H205" s="43"/>
      <c r="I205" s="43">
        <f>AVERAGE(F206)</f>
        <v>0.17274815003827515</v>
      </c>
      <c r="J205" s="8"/>
      <c r="K205" s="8"/>
      <c r="L205" s="43"/>
    </row>
    <row r="206" spans="1:12">
      <c r="A206" s="1" t="s">
        <v>3650</v>
      </c>
      <c r="B206" s="7">
        <v>46.85</v>
      </c>
      <c r="C206" s="7">
        <v>45.96</v>
      </c>
      <c r="D206" s="16">
        <f>(C206-B206)/B206</f>
        <v>-1.8996798292422637E-2</v>
      </c>
      <c r="E206" s="9">
        <v>39.19</v>
      </c>
      <c r="F206" s="16">
        <f>(C206-E206)/E206</f>
        <v>0.17274815003827515</v>
      </c>
      <c r="G206" s="40"/>
      <c r="H206" s="16"/>
      <c r="I206" s="16"/>
      <c r="L206" s="16"/>
    </row>
    <row r="207" spans="1:12">
      <c r="A207" s="1"/>
      <c r="B207" s="7"/>
      <c r="C207" s="7"/>
      <c r="D207" s="16"/>
      <c r="E207" s="9"/>
      <c r="F207" s="16"/>
      <c r="G207" s="40"/>
      <c r="H207" s="16"/>
      <c r="I207" s="16"/>
      <c r="L207" s="16"/>
    </row>
    <row r="208" spans="1:12">
      <c r="A208" s="2" t="s">
        <v>3651</v>
      </c>
      <c r="B208" s="11" t="s">
        <v>3534</v>
      </c>
      <c r="C208" s="31" t="s">
        <v>3479</v>
      </c>
      <c r="D208" s="43"/>
      <c r="E208" s="44"/>
      <c r="F208" s="43"/>
      <c r="G208" s="23" t="s">
        <v>3983</v>
      </c>
      <c r="H208" s="43">
        <f>AVERAGE(F209)</f>
        <v>1.227678571428565E-2</v>
      </c>
      <c r="I208" s="43"/>
      <c r="J208" s="8"/>
      <c r="K208" s="8"/>
      <c r="L208" s="43"/>
    </row>
    <row r="209" spans="1:12">
      <c r="A209" s="1" t="s">
        <v>3652</v>
      </c>
      <c r="B209" s="7">
        <v>35.49</v>
      </c>
      <c r="C209" s="7">
        <v>36.28</v>
      </c>
      <c r="D209" s="16">
        <f>(C209-B209)/B209</f>
        <v>2.2259791490560697E-2</v>
      </c>
      <c r="E209" s="9">
        <v>35.840000000000003</v>
      </c>
      <c r="F209" s="16">
        <f>(C209-E209)/E209</f>
        <v>1.227678571428565E-2</v>
      </c>
      <c r="G209" s="40"/>
      <c r="H209" s="16"/>
      <c r="I209" s="16"/>
      <c r="L209" s="16"/>
    </row>
    <row r="210" spans="1:12">
      <c r="A210" s="1"/>
      <c r="B210" s="7"/>
      <c r="C210" s="7"/>
      <c r="D210" s="16"/>
      <c r="E210" s="9"/>
      <c r="F210" s="16"/>
      <c r="G210" s="40"/>
      <c r="H210" s="16"/>
      <c r="I210" s="16"/>
      <c r="L210" s="16"/>
    </row>
    <row r="211" spans="1:12" ht="38.25">
      <c r="A211" s="2" t="s">
        <v>3653</v>
      </c>
      <c r="B211" s="12" t="s">
        <v>3977</v>
      </c>
      <c r="C211" s="44" t="s">
        <v>3480</v>
      </c>
      <c r="D211" s="43"/>
      <c r="E211" s="44"/>
      <c r="F211" s="43"/>
      <c r="G211" s="23" t="s">
        <v>3983</v>
      </c>
      <c r="H211" s="43">
        <f>AVERAGE(F212)</f>
        <v>1.0195758564437194E-2</v>
      </c>
      <c r="I211" s="43"/>
      <c r="J211" s="8"/>
      <c r="K211" s="8"/>
      <c r="L211" s="43"/>
    </row>
    <row r="212" spans="1:12">
      <c r="A212" s="1" t="s">
        <v>3654</v>
      </c>
      <c r="B212" s="7">
        <v>32.479999999999997</v>
      </c>
      <c r="C212" s="7">
        <v>24.77</v>
      </c>
      <c r="D212" s="16">
        <f>(C212-B212)/B212</f>
        <v>-0.23737684729064035</v>
      </c>
      <c r="E212" s="9">
        <v>24.52</v>
      </c>
      <c r="F212" s="16">
        <f>(C212-E212)/E212</f>
        <v>1.0195758564437194E-2</v>
      </c>
      <c r="G212" s="40"/>
      <c r="H212" s="16"/>
      <c r="I212" s="16"/>
      <c r="L212" s="16"/>
    </row>
    <row r="213" spans="1:12">
      <c r="A213" s="1"/>
      <c r="B213" s="7"/>
      <c r="C213" s="7"/>
      <c r="D213" s="16"/>
      <c r="E213" s="9"/>
      <c r="F213" s="16"/>
      <c r="G213" s="40"/>
      <c r="H213" s="16"/>
      <c r="I213" s="16"/>
      <c r="L213" s="16"/>
    </row>
    <row r="214" spans="1:12" ht="38.25">
      <c r="A214" s="2" t="s">
        <v>3655</v>
      </c>
      <c r="B214" s="12" t="s">
        <v>3977</v>
      </c>
      <c r="C214" s="44" t="s">
        <v>3480</v>
      </c>
      <c r="D214" s="43"/>
      <c r="E214" s="44"/>
      <c r="F214" s="43"/>
      <c r="G214" s="23" t="s">
        <v>3983</v>
      </c>
      <c r="H214" s="43">
        <f>AVERAGE(F215:F220)</f>
        <v>4.1518034086404983E-2</v>
      </c>
      <c r="I214" s="43"/>
      <c r="J214" s="8"/>
      <c r="K214" s="8"/>
      <c r="L214" s="43"/>
    </row>
    <row r="215" spans="1:12">
      <c r="A215" s="1" t="s">
        <v>3656</v>
      </c>
      <c r="B215" s="7">
        <v>35.99</v>
      </c>
      <c r="C215" s="7">
        <v>32.869999999999997</v>
      </c>
      <c r="D215" s="16">
        <f t="shared" ref="D215:D220" si="10">(C215-B215)/B215</f>
        <v>-8.6690747429841744E-2</v>
      </c>
      <c r="E215" s="9">
        <v>33.64</v>
      </c>
      <c r="F215" s="16">
        <f t="shared" ref="F215:F220" si="11">(C215-E215)/E215</f>
        <v>-2.2889417360285467E-2</v>
      </c>
      <c r="G215" s="40"/>
      <c r="H215" s="16"/>
      <c r="I215" s="16"/>
      <c r="L215" s="16"/>
    </row>
    <row r="216" spans="1:12">
      <c r="A216" s="1" t="s">
        <v>3657</v>
      </c>
      <c r="B216" s="7">
        <v>35.99</v>
      </c>
      <c r="C216" s="7">
        <v>34.119999999999997</v>
      </c>
      <c r="D216" s="16">
        <f t="shared" si="10"/>
        <v>-5.1958877465962894E-2</v>
      </c>
      <c r="E216" s="9">
        <v>33.64</v>
      </c>
      <c r="F216" s="16">
        <f t="shared" si="11"/>
        <v>1.4268727705112868E-2</v>
      </c>
      <c r="G216" s="40"/>
      <c r="H216" s="16"/>
      <c r="I216" s="16"/>
      <c r="L216" s="16"/>
    </row>
    <row r="217" spans="1:12">
      <c r="A217" s="1" t="s">
        <v>3916</v>
      </c>
      <c r="B217" s="7">
        <v>35.99</v>
      </c>
      <c r="C217" s="7">
        <v>35.869999999999997</v>
      </c>
      <c r="D217" s="16">
        <f t="shared" si="10"/>
        <v>-3.3342595165324965E-3</v>
      </c>
      <c r="E217" s="9">
        <v>33.64</v>
      </c>
      <c r="F217" s="16">
        <f t="shared" si="11"/>
        <v>6.6290130796670538E-2</v>
      </c>
      <c r="G217" s="40"/>
      <c r="H217" s="16"/>
      <c r="I217" s="16"/>
      <c r="L217" s="16"/>
    </row>
    <row r="218" spans="1:12">
      <c r="A218" s="1" t="s">
        <v>3659</v>
      </c>
      <c r="B218" s="7">
        <v>35.99</v>
      </c>
      <c r="C218" s="7">
        <v>34.369999999999997</v>
      </c>
      <c r="D218" s="16">
        <f t="shared" si="10"/>
        <v>-4.5012503473187117E-2</v>
      </c>
      <c r="E218" s="9">
        <v>33.64</v>
      </c>
      <c r="F218" s="16">
        <f t="shared" si="11"/>
        <v>2.1700356718192534E-2</v>
      </c>
      <c r="G218" s="40"/>
      <c r="H218" s="16"/>
      <c r="I218" s="16"/>
      <c r="L218" s="16"/>
    </row>
    <row r="219" spans="1:12">
      <c r="A219" s="1" t="s">
        <v>3660</v>
      </c>
      <c r="B219" s="7">
        <v>35.99</v>
      </c>
      <c r="C219" s="7">
        <v>35.619999999999997</v>
      </c>
      <c r="D219" s="16">
        <f t="shared" si="10"/>
        <v>-1.0280633509308267E-2</v>
      </c>
      <c r="E219" s="9">
        <v>33.64</v>
      </c>
      <c r="F219" s="16">
        <f t="shared" si="11"/>
        <v>5.8858501783590866E-2</v>
      </c>
      <c r="G219" s="40"/>
      <c r="H219" s="16"/>
      <c r="I219" s="16"/>
      <c r="L219" s="16"/>
    </row>
    <row r="220" spans="1:12" ht="25.5">
      <c r="A220" s="1" t="s">
        <v>3661</v>
      </c>
      <c r="B220" s="7">
        <v>35.99</v>
      </c>
      <c r="C220" s="7">
        <v>37.369999999999997</v>
      </c>
      <c r="D220" s="16">
        <f t="shared" si="10"/>
        <v>3.8343984440122131E-2</v>
      </c>
      <c r="E220" s="9">
        <v>33.64</v>
      </c>
      <c r="F220" s="16">
        <f t="shared" si="11"/>
        <v>0.11087990487514854</v>
      </c>
      <c r="G220" s="40"/>
      <c r="H220" s="16"/>
      <c r="I220" s="16"/>
      <c r="L220" s="16"/>
    </row>
    <row r="221" spans="1:12">
      <c r="A221" s="1"/>
      <c r="B221" s="7"/>
      <c r="C221" s="7"/>
      <c r="D221" s="16"/>
      <c r="E221" s="9"/>
      <c r="F221" s="16"/>
      <c r="G221" s="40"/>
      <c r="H221" s="16"/>
      <c r="I221" s="16"/>
      <c r="L221" s="16"/>
    </row>
    <row r="222" spans="1:12">
      <c r="A222" s="1"/>
      <c r="B222" s="7"/>
      <c r="C222" s="7"/>
      <c r="D222" s="16"/>
      <c r="E222" s="9"/>
      <c r="F222" s="16"/>
      <c r="G222" s="40"/>
      <c r="H222" s="16"/>
      <c r="I222" s="16"/>
      <c r="L222" s="16"/>
    </row>
    <row r="223" spans="1:12" ht="51">
      <c r="A223" s="2" t="s">
        <v>3662</v>
      </c>
      <c r="B223" s="12" t="s">
        <v>3547</v>
      </c>
      <c r="C223" s="12" t="s">
        <v>3547</v>
      </c>
      <c r="D223" s="16"/>
      <c r="E223" s="9"/>
      <c r="F223" s="16"/>
      <c r="G223" s="40"/>
      <c r="H223" s="16"/>
      <c r="I223" s="16"/>
      <c r="L223" s="16"/>
    </row>
    <row r="224" spans="1:12">
      <c r="A224" s="1" t="s">
        <v>3663</v>
      </c>
      <c r="B224" s="7">
        <v>30.82</v>
      </c>
      <c r="C224" s="7">
        <v>30.82</v>
      </c>
      <c r="D224" s="16">
        <f>(C224-B224)/B224</f>
        <v>0</v>
      </c>
      <c r="E224" s="9"/>
      <c r="F224" s="16"/>
      <c r="G224" s="40"/>
      <c r="H224" s="16"/>
      <c r="I224" s="16"/>
      <c r="L224" s="16"/>
    </row>
    <row r="225" spans="1:12">
      <c r="A225" s="143"/>
      <c r="B225" s="143"/>
      <c r="C225" s="7"/>
      <c r="D225" s="16"/>
      <c r="E225" s="9"/>
      <c r="F225" s="16"/>
      <c r="G225" s="40"/>
      <c r="H225" s="16"/>
      <c r="I225" s="16"/>
      <c r="L225" s="16"/>
    </row>
    <row r="226" spans="1:12" ht="38.25">
      <c r="A226" s="2" t="s">
        <v>3664</v>
      </c>
      <c r="B226" s="12" t="s">
        <v>3510</v>
      </c>
      <c r="C226" s="12" t="s">
        <v>3510</v>
      </c>
      <c r="D226" s="43"/>
      <c r="E226" s="44"/>
      <c r="F226" s="43"/>
      <c r="G226" s="23" t="s">
        <v>3983</v>
      </c>
      <c r="H226" s="43">
        <f>AVERAGE(F228:F275)</f>
        <v>3.3875338753387534E-4</v>
      </c>
      <c r="I226" s="43"/>
      <c r="J226" s="8"/>
      <c r="K226" s="8"/>
      <c r="L226" s="43"/>
    </row>
    <row r="227" spans="1:12" ht="38.25" customHeight="1">
      <c r="A227" s="145" t="s">
        <v>3700</v>
      </c>
      <c r="B227" s="145"/>
      <c r="C227" s="13"/>
      <c r="D227" s="16"/>
      <c r="E227" s="9"/>
      <c r="F227" s="16"/>
      <c r="G227" s="40"/>
      <c r="H227" s="16"/>
      <c r="I227" s="16"/>
      <c r="L227" s="16"/>
    </row>
    <row r="228" spans="1:12">
      <c r="A228" s="1" t="s">
        <v>3701</v>
      </c>
      <c r="B228" s="7">
        <v>35.020000000000003</v>
      </c>
      <c r="C228" s="7">
        <v>36.9</v>
      </c>
      <c r="D228" s="16">
        <f t="shared" ref="D228:D242" si="12">(C228-B228)/B228</f>
        <v>5.3683609366076392E-2</v>
      </c>
      <c r="E228" s="9">
        <v>36.9</v>
      </c>
      <c r="F228" s="16">
        <f t="shared" ref="F228:F242" si="13">(C228-E228)/E228</f>
        <v>0</v>
      </c>
      <c r="G228" s="40"/>
      <c r="H228" s="16"/>
      <c r="I228" s="16"/>
      <c r="L228" s="16"/>
    </row>
    <row r="229" spans="1:12">
      <c r="A229" s="1" t="s">
        <v>3702</v>
      </c>
      <c r="B229" s="7">
        <v>35.24</v>
      </c>
      <c r="C229" s="7">
        <v>36.9</v>
      </c>
      <c r="D229" s="16">
        <f t="shared" si="12"/>
        <v>4.71055618615209E-2</v>
      </c>
      <c r="E229" s="9">
        <v>36.9</v>
      </c>
      <c r="F229" s="16">
        <f t="shared" si="13"/>
        <v>0</v>
      </c>
      <c r="G229" s="40"/>
      <c r="H229" s="16"/>
      <c r="I229" s="16"/>
      <c r="L229" s="16"/>
    </row>
    <row r="230" spans="1:12">
      <c r="A230" s="1" t="s">
        <v>3703</v>
      </c>
      <c r="B230" s="7">
        <v>35.450000000000003</v>
      </c>
      <c r="C230" s="7">
        <v>36.9</v>
      </c>
      <c r="D230" s="16">
        <f t="shared" si="12"/>
        <v>4.0902679830747406E-2</v>
      </c>
      <c r="E230" s="9">
        <v>36.9</v>
      </c>
      <c r="F230" s="16">
        <f t="shared" si="13"/>
        <v>0</v>
      </c>
      <c r="G230" s="40"/>
      <c r="H230" s="16"/>
      <c r="I230" s="16"/>
      <c r="L230" s="16"/>
    </row>
    <row r="231" spans="1:12">
      <c r="A231" s="1" t="s">
        <v>3704</v>
      </c>
      <c r="B231" s="7">
        <v>35.619999999999997</v>
      </c>
      <c r="C231" s="7">
        <v>36.9</v>
      </c>
      <c r="D231" s="16">
        <f t="shared" si="12"/>
        <v>3.593486805165641E-2</v>
      </c>
      <c r="E231" s="9">
        <v>36.9</v>
      </c>
      <c r="F231" s="16">
        <f t="shared" si="13"/>
        <v>0</v>
      </c>
      <c r="G231" s="40"/>
      <c r="H231" s="16"/>
      <c r="I231" s="16"/>
      <c r="L231" s="16"/>
    </row>
    <row r="232" spans="1:12">
      <c r="A232" s="1" t="s">
        <v>3705</v>
      </c>
      <c r="B232" s="7">
        <v>36.04</v>
      </c>
      <c r="C232" s="7">
        <v>36.9</v>
      </c>
      <c r="D232" s="16">
        <f t="shared" si="12"/>
        <v>2.3862375138734723E-2</v>
      </c>
      <c r="E232" s="9">
        <v>36.9</v>
      </c>
      <c r="F232" s="16">
        <f t="shared" si="13"/>
        <v>0</v>
      </c>
      <c r="G232" s="40"/>
      <c r="H232" s="16"/>
      <c r="I232" s="16"/>
      <c r="L232" s="16"/>
    </row>
    <row r="233" spans="1:12">
      <c r="A233" s="1" t="s">
        <v>3706</v>
      </c>
      <c r="B233" s="7">
        <v>37.479999999999997</v>
      </c>
      <c r="C233" s="7">
        <v>36.9</v>
      </c>
      <c r="D233" s="16">
        <f t="shared" si="12"/>
        <v>-1.5474919957310521E-2</v>
      </c>
      <c r="E233" s="9">
        <v>36.9</v>
      </c>
      <c r="F233" s="16">
        <f t="shared" si="13"/>
        <v>0</v>
      </c>
      <c r="G233" s="40"/>
      <c r="H233" s="16"/>
      <c r="I233" s="16"/>
      <c r="L233" s="16"/>
    </row>
    <row r="234" spans="1:12" ht="25.5">
      <c r="A234" s="1" t="s">
        <v>3707</v>
      </c>
      <c r="B234" s="7">
        <v>38.43</v>
      </c>
      <c r="C234" s="7">
        <v>36.9</v>
      </c>
      <c r="D234" s="16">
        <f t="shared" si="12"/>
        <v>-3.981264637002345E-2</v>
      </c>
      <c r="E234" s="9">
        <v>36.9</v>
      </c>
      <c r="F234" s="16">
        <f t="shared" si="13"/>
        <v>0</v>
      </c>
      <c r="G234" s="40"/>
      <c r="H234" s="16"/>
      <c r="I234" s="16"/>
      <c r="L234" s="16"/>
    </row>
    <row r="235" spans="1:12" ht="25.5">
      <c r="A235" s="1" t="s">
        <v>3708</v>
      </c>
      <c r="B235" s="7">
        <v>38.9</v>
      </c>
      <c r="C235" s="7">
        <v>36.9</v>
      </c>
      <c r="D235" s="16">
        <f t="shared" si="12"/>
        <v>-5.1413881748071981E-2</v>
      </c>
      <c r="E235" s="9">
        <v>36.9</v>
      </c>
      <c r="F235" s="16">
        <f t="shared" si="13"/>
        <v>0</v>
      </c>
      <c r="G235" s="40"/>
      <c r="H235" s="16"/>
      <c r="I235" s="16"/>
      <c r="L235" s="16"/>
    </row>
    <row r="236" spans="1:12" ht="25.5">
      <c r="A236" s="1" t="s">
        <v>3709</v>
      </c>
      <c r="B236" s="7">
        <v>40.9</v>
      </c>
      <c r="C236" s="7">
        <v>36.9</v>
      </c>
      <c r="D236" s="16">
        <f t="shared" si="12"/>
        <v>-9.7799511002444994E-2</v>
      </c>
      <c r="E236" s="9">
        <v>36.9</v>
      </c>
      <c r="F236" s="16">
        <f t="shared" si="13"/>
        <v>0</v>
      </c>
      <c r="G236" s="40"/>
      <c r="H236" s="16"/>
      <c r="I236" s="16"/>
      <c r="L236" s="16"/>
    </row>
    <row r="237" spans="1:12" ht="25.5">
      <c r="A237" s="1" t="s">
        <v>3710</v>
      </c>
      <c r="B237" s="7">
        <v>43.9</v>
      </c>
      <c r="C237" s="7">
        <v>36.9</v>
      </c>
      <c r="D237" s="16">
        <f t="shared" si="12"/>
        <v>-0.15945330296127563</v>
      </c>
      <c r="E237" s="9">
        <v>36.9</v>
      </c>
      <c r="F237" s="16">
        <f t="shared" si="13"/>
        <v>0</v>
      </c>
      <c r="G237" s="40"/>
      <c r="H237" s="16"/>
      <c r="I237" s="16"/>
      <c r="L237" s="16"/>
    </row>
    <row r="238" spans="1:12">
      <c r="A238" s="1" t="s">
        <v>3711</v>
      </c>
      <c r="B238" s="7">
        <v>45.4</v>
      </c>
      <c r="C238" s="7">
        <v>36.9</v>
      </c>
      <c r="D238" s="16">
        <f t="shared" si="12"/>
        <v>-0.18722466960352424</v>
      </c>
      <c r="E238" s="9">
        <v>36.9</v>
      </c>
      <c r="F238" s="16">
        <f t="shared" si="13"/>
        <v>0</v>
      </c>
      <c r="G238" s="40"/>
      <c r="H238" s="16"/>
      <c r="I238" s="16"/>
      <c r="L238" s="16"/>
    </row>
    <row r="239" spans="1:12">
      <c r="A239" s="6" t="s">
        <v>3712</v>
      </c>
      <c r="B239" s="7"/>
      <c r="C239" s="7"/>
      <c r="D239" s="16"/>
      <c r="E239" s="9"/>
      <c r="F239" s="16"/>
      <c r="G239" s="40"/>
      <c r="H239" s="16"/>
      <c r="I239" s="16"/>
      <c r="L239" s="16"/>
    </row>
    <row r="240" spans="1:12">
      <c r="A240" s="1" t="s">
        <v>3713</v>
      </c>
      <c r="B240" s="7">
        <v>35.450000000000003</v>
      </c>
      <c r="C240" s="7">
        <v>36.9</v>
      </c>
      <c r="D240" s="16">
        <f t="shared" si="12"/>
        <v>4.0902679830747406E-2</v>
      </c>
      <c r="E240" s="9">
        <v>36.9</v>
      </c>
      <c r="F240" s="16">
        <f t="shared" si="13"/>
        <v>0</v>
      </c>
      <c r="G240" s="40"/>
      <c r="H240" s="16"/>
      <c r="I240" s="16"/>
      <c r="L240" s="16"/>
    </row>
    <row r="241" spans="1:12">
      <c r="A241" s="1" t="s">
        <v>3714</v>
      </c>
      <c r="B241" s="7">
        <v>35.56</v>
      </c>
      <c r="C241" s="7">
        <v>36.9</v>
      </c>
      <c r="D241" s="16">
        <f t="shared" si="12"/>
        <v>3.7682789651293479E-2</v>
      </c>
      <c r="E241" s="9">
        <v>36.9</v>
      </c>
      <c r="F241" s="16">
        <f t="shared" si="13"/>
        <v>0</v>
      </c>
      <c r="G241" s="40"/>
      <c r="H241" s="16"/>
      <c r="I241" s="16"/>
      <c r="L241" s="16"/>
    </row>
    <row r="242" spans="1:12">
      <c r="A242" s="1" t="s">
        <v>3715</v>
      </c>
      <c r="B242" s="7">
        <v>35.78</v>
      </c>
      <c r="C242" s="7">
        <v>36.9</v>
      </c>
      <c r="D242" s="16">
        <f t="shared" si="12"/>
        <v>3.1302403577417481E-2</v>
      </c>
      <c r="E242" s="9">
        <v>36.9</v>
      </c>
      <c r="F242" s="16">
        <f t="shared" si="13"/>
        <v>0</v>
      </c>
      <c r="G242" s="40"/>
      <c r="H242" s="16"/>
      <c r="I242" s="16"/>
      <c r="L242" s="16"/>
    </row>
    <row r="243" spans="1:12">
      <c r="A243" s="6" t="s">
        <v>3716</v>
      </c>
      <c r="B243" s="7"/>
      <c r="C243" s="7"/>
      <c r="D243" s="16"/>
      <c r="E243" s="9"/>
      <c r="F243" s="16"/>
      <c r="G243" s="40"/>
      <c r="H243" s="16"/>
      <c r="I243" s="16"/>
      <c r="L243" s="16"/>
    </row>
    <row r="244" spans="1:12" ht="25.5">
      <c r="A244" s="1" t="s">
        <v>3717</v>
      </c>
      <c r="B244" s="7"/>
      <c r="C244" s="7"/>
      <c r="D244" s="16"/>
      <c r="E244" s="9"/>
      <c r="F244" s="16"/>
      <c r="G244" s="40"/>
      <c r="H244" s="16"/>
      <c r="I244" s="16"/>
      <c r="L244" s="16"/>
    </row>
    <row r="245" spans="1:12" ht="25.5">
      <c r="A245" s="1" t="s">
        <v>3718</v>
      </c>
      <c r="B245" s="7"/>
      <c r="C245" s="7"/>
      <c r="D245" s="16"/>
      <c r="E245" s="9"/>
      <c r="F245" s="16"/>
      <c r="G245" s="40"/>
      <c r="H245" s="16"/>
      <c r="I245" s="16"/>
      <c r="L245" s="16"/>
    </row>
    <row r="246" spans="1:12">
      <c r="A246" s="1" t="s">
        <v>3719</v>
      </c>
      <c r="B246" s="7"/>
      <c r="C246" s="7"/>
      <c r="D246" s="16"/>
      <c r="E246" s="9"/>
      <c r="F246" s="16"/>
      <c r="G246" s="40"/>
      <c r="H246" s="16"/>
      <c r="I246" s="16"/>
      <c r="L246" s="16"/>
    </row>
    <row r="247" spans="1:12">
      <c r="A247" s="6" t="s">
        <v>3720</v>
      </c>
      <c r="B247" s="7"/>
      <c r="C247" s="7"/>
      <c r="D247" s="16"/>
      <c r="E247" s="9"/>
      <c r="F247" s="16"/>
      <c r="G247" s="40"/>
      <c r="H247" s="16"/>
      <c r="I247" s="16"/>
      <c r="L247" s="16"/>
    </row>
    <row r="248" spans="1:12">
      <c r="A248" s="1" t="s">
        <v>3721</v>
      </c>
      <c r="B248" s="7">
        <v>35.43</v>
      </c>
      <c r="C248" s="7">
        <v>36.9</v>
      </c>
      <c r="D248" s="16">
        <f t="shared" ref="D248:D260" si="14">(C248-B248)/B248</f>
        <v>4.1490262489415716E-2</v>
      </c>
      <c r="E248" s="9">
        <v>36.9</v>
      </c>
      <c r="F248" s="16">
        <f t="shared" ref="F248:F275" si="15">(C248-E248)/E248</f>
        <v>0</v>
      </c>
      <c r="G248" s="40"/>
      <c r="H248" s="16"/>
      <c r="I248" s="16"/>
      <c r="L248" s="16"/>
    </row>
    <row r="249" spans="1:12">
      <c r="A249" s="1" t="s">
        <v>3722</v>
      </c>
      <c r="B249" s="7">
        <v>35.450000000000003</v>
      </c>
      <c r="C249" s="7">
        <v>36.9</v>
      </c>
      <c r="D249" s="16">
        <f t="shared" si="14"/>
        <v>4.0902679830747406E-2</v>
      </c>
      <c r="E249" s="9">
        <v>36.9</v>
      </c>
      <c r="F249" s="16">
        <f t="shared" si="15"/>
        <v>0</v>
      </c>
      <c r="G249" s="40"/>
      <c r="H249" s="16"/>
      <c r="I249" s="16"/>
      <c r="L249" s="16"/>
    </row>
    <row r="250" spans="1:12" ht="102">
      <c r="A250" s="1" t="s">
        <v>3723</v>
      </c>
      <c r="B250" s="7">
        <v>35.729999999999997</v>
      </c>
      <c r="C250" s="7">
        <v>36.9</v>
      </c>
      <c r="D250" s="16">
        <f t="shared" si="14"/>
        <v>3.2745591939546653E-2</v>
      </c>
      <c r="E250" s="9">
        <v>36.9</v>
      </c>
      <c r="F250" s="16">
        <f t="shared" si="15"/>
        <v>0</v>
      </c>
      <c r="G250" s="40"/>
      <c r="H250" s="16"/>
      <c r="I250" s="16"/>
      <c r="L250" s="16"/>
    </row>
    <row r="251" spans="1:12">
      <c r="A251" s="1" t="s">
        <v>3724</v>
      </c>
      <c r="B251" s="7">
        <v>35.619999999999997</v>
      </c>
      <c r="C251" s="7">
        <v>36.9</v>
      </c>
      <c r="D251" s="16">
        <f t="shared" si="14"/>
        <v>3.593486805165641E-2</v>
      </c>
      <c r="E251" s="9">
        <v>36.9</v>
      </c>
      <c r="F251" s="16">
        <f t="shared" si="15"/>
        <v>0</v>
      </c>
      <c r="G251" s="40"/>
      <c r="H251" s="16"/>
      <c r="I251" s="16"/>
      <c r="L251" s="16"/>
    </row>
    <row r="252" spans="1:12" ht="25.5">
      <c r="A252" s="1" t="s">
        <v>3725</v>
      </c>
      <c r="B252" s="7">
        <v>35.619999999999997</v>
      </c>
      <c r="C252" s="7">
        <v>36.9</v>
      </c>
      <c r="D252" s="16">
        <f t="shared" si="14"/>
        <v>3.593486805165641E-2</v>
      </c>
      <c r="E252" s="9">
        <v>36.9</v>
      </c>
      <c r="F252" s="16">
        <f t="shared" si="15"/>
        <v>0</v>
      </c>
      <c r="G252" s="40"/>
      <c r="H252" s="16"/>
      <c r="I252" s="16"/>
      <c r="L252" s="16"/>
    </row>
    <row r="253" spans="1:12">
      <c r="A253" s="1" t="s">
        <v>3726</v>
      </c>
      <c r="B253" s="7">
        <v>35.619999999999997</v>
      </c>
      <c r="C253" s="7">
        <v>36.9</v>
      </c>
      <c r="D253" s="16">
        <f t="shared" si="14"/>
        <v>3.593486805165641E-2</v>
      </c>
      <c r="E253" s="9">
        <v>36.9</v>
      </c>
      <c r="F253" s="16">
        <f t="shared" si="15"/>
        <v>0</v>
      </c>
      <c r="G253" s="40"/>
      <c r="H253" s="16"/>
      <c r="I253" s="16"/>
      <c r="L253" s="16"/>
    </row>
    <row r="254" spans="1:12" ht="25.5">
      <c r="A254" s="1" t="s">
        <v>3727</v>
      </c>
      <c r="B254" s="7">
        <v>35.51</v>
      </c>
      <c r="C254" s="7">
        <v>36.9</v>
      </c>
      <c r="D254" s="16">
        <f t="shared" si="14"/>
        <v>3.914390312588005E-2</v>
      </c>
      <c r="E254" s="9">
        <v>36.9</v>
      </c>
      <c r="F254" s="16">
        <f t="shared" si="15"/>
        <v>0</v>
      </c>
      <c r="G254" s="40"/>
      <c r="H254" s="16"/>
      <c r="I254" s="16"/>
      <c r="L254" s="16"/>
    </row>
    <row r="255" spans="1:12">
      <c r="A255" s="1" t="s">
        <v>3728</v>
      </c>
      <c r="B255" s="7">
        <v>33.340000000000003</v>
      </c>
      <c r="C255" s="7">
        <v>36.9</v>
      </c>
      <c r="D255" s="16">
        <f t="shared" si="14"/>
        <v>0.10677864427114561</v>
      </c>
      <c r="E255" s="9">
        <v>36.9</v>
      </c>
      <c r="F255" s="16">
        <f t="shared" si="15"/>
        <v>0</v>
      </c>
      <c r="G255" s="40"/>
      <c r="H255" s="16"/>
      <c r="I255" s="16"/>
      <c r="L255" s="16"/>
    </row>
    <row r="256" spans="1:12">
      <c r="A256" s="6" t="s">
        <v>3729</v>
      </c>
      <c r="B256" s="7"/>
      <c r="C256" s="7"/>
      <c r="D256" s="16"/>
      <c r="E256" s="9"/>
      <c r="F256" s="16"/>
      <c r="G256" s="40"/>
      <c r="H256" s="16"/>
      <c r="I256" s="16"/>
      <c r="L256" s="16"/>
    </row>
    <row r="257" spans="1:12">
      <c r="A257" s="1" t="s">
        <v>3730</v>
      </c>
      <c r="B257" s="7">
        <v>35.07</v>
      </c>
      <c r="C257" s="7">
        <v>36.9</v>
      </c>
      <c r="D257" s="16">
        <f t="shared" si="14"/>
        <v>5.2181351582549142E-2</v>
      </c>
      <c r="E257" s="9">
        <v>36.9</v>
      </c>
      <c r="F257" s="16">
        <f t="shared" si="15"/>
        <v>0</v>
      </c>
      <c r="G257" s="40"/>
      <c r="H257" s="16"/>
      <c r="I257" s="16"/>
      <c r="L257" s="16"/>
    </row>
    <row r="258" spans="1:12">
      <c r="A258" s="1" t="s">
        <v>3731</v>
      </c>
      <c r="B258" s="7">
        <v>35.18</v>
      </c>
      <c r="C258" s="7">
        <v>36.9</v>
      </c>
      <c r="D258" s="16">
        <f t="shared" si="14"/>
        <v>4.8891415577032374E-2</v>
      </c>
      <c r="E258" s="9">
        <v>36.9</v>
      </c>
      <c r="F258" s="16">
        <f t="shared" si="15"/>
        <v>0</v>
      </c>
      <c r="G258" s="40"/>
      <c r="H258" s="16"/>
      <c r="I258" s="16"/>
      <c r="L258" s="16"/>
    </row>
    <row r="259" spans="1:12" ht="25.5">
      <c r="A259" s="1" t="s">
        <v>3732</v>
      </c>
      <c r="B259" s="7">
        <v>49.66</v>
      </c>
      <c r="C259" s="7">
        <v>36.9</v>
      </c>
      <c r="D259" s="16">
        <f t="shared" si="14"/>
        <v>-0.25694724124043494</v>
      </c>
      <c r="E259" s="9">
        <v>36.9</v>
      </c>
      <c r="F259" s="16">
        <f t="shared" si="15"/>
        <v>0</v>
      </c>
      <c r="G259" s="40"/>
      <c r="H259" s="16"/>
      <c r="I259" s="16"/>
      <c r="L259" s="16"/>
    </row>
    <row r="260" spans="1:12">
      <c r="A260" s="1" t="s">
        <v>3733</v>
      </c>
      <c r="B260" s="7">
        <v>35.29</v>
      </c>
      <c r="C260" s="7">
        <v>36.9</v>
      </c>
      <c r="D260" s="16">
        <f t="shared" si="14"/>
        <v>4.5621989232077061E-2</v>
      </c>
      <c r="E260" s="9">
        <v>36.9</v>
      </c>
      <c r="F260" s="16">
        <f t="shared" si="15"/>
        <v>0</v>
      </c>
      <c r="G260" s="40"/>
      <c r="H260" s="16"/>
      <c r="I260" s="16"/>
      <c r="L260" s="16"/>
    </row>
    <row r="261" spans="1:12">
      <c r="A261" s="6" t="s">
        <v>3734</v>
      </c>
      <c r="B261" s="7"/>
      <c r="C261" s="7"/>
      <c r="D261" s="16"/>
      <c r="E261" s="9"/>
      <c r="F261" s="16"/>
      <c r="G261" s="40"/>
      <c r="H261" s="16"/>
      <c r="I261" s="16"/>
      <c r="L261" s="16"/>
    </row>
    <row r="262" spans="1:12">
      <c r="A262" s="1" t="s">
        <v>3735</v>
      </c>
      <c r="B262" s="7">
        <v>35.18</v>
      </c>
      <c r="C262" s="7">
        <v>36.9</v>
      </c>
      <c r="D262" s="16">
        <f t="shared" ref="D262:D275" si="16">(C262-B262)/B262</f>
        <v>4.8891415577032374E-2</v>
      </c>
      <c r="E262" s="9">
        <v>36.9</v>
      </c>
      <c r="F262" s="16">
        <f t="shared" si="15"/>
        <v>0</v>
      </c>
      <c r="G262" s="40"/>
      <c r="H262" s="16"/>
      <c r="I262" s="16"/>
      <c r="L262" s="16"/>
    </row>
    <row r="263" spans="1:12">
      <c r="A263" s="1" t="s">
        <v>3736</v>
      </c>
      <c r="B263" s="7">
        <v>35.29</v>
      </c>
      <c r="C263" s="7">
        <v>36.9</v>
      </c>
      <c r="D263" s="16">
        <f t="shared" si="16"/>
        <v>4.5621989232077061E-2</v>
      </c>
      <c r="E263" s="9">
        <v>36.9</v>
      </c>
      <c r="F263" s="16">
        <f t="shared" si="15"/>
        <v>0</v>
      </c>
      <c r="G263" s="40"/>
      <c r="H263" s="16"/>
      <c r="I263" s="16"/>
      <c r="L263" s="16"/>
    </row>
    <row r="264" spans="1:12">
      <c r="A264" s="1" t="s">
        <v>3737</v>
      </c>
      <c r="B264" s="7">
        <v>35.130000000000003</v>
      </c>
      <c r="C264" s="7">
        <v>36.9</v>
      </c>
      <c r="D264" s="16">
        <f t="shared" si="16"/>
        <v>5.038428693424412E-2</v>
      </c>
      <c r="E264" s="9">
        <v>36.9</v>
      </c>
      <c r="F264" s="16">
        <f t="shared" si="15"/>
        <v>0</v>
      </c>
      <c r="G264" s="40"/>
      <c r="H264" s="16"/>
      <c r="I264" s="16"/>
      <c r="L264" s="16"/>
    </row>
    <row r="265" spans="1:12">
      <c r="A265" s="1" t="s">
        <v>3738</v>
      </c>
      <c r="B265" s="7">
        <v>35.24</v>
      </c>
      <c r="C265" s="7">
        <v>36.9</v>
      </c>
      <c r="D265" s="16">
        <f t="shared" si="16"/>
        <v>4.71055618615209E-2</v>
      </c>
      <c r="E265" s="9">
        <v>36.9</v>
      </c>
      <c r="F265" s="16">
        <f t="shared" si="15"/>
        <v>0</v>
      </c>
      <c r="G265" s="40"/>
      <c r="H265" s="16"/>
      <c r="I265" s="16"/>
      <c r="L265" s="16"/>
    </row>
    <row r="266" spans="1:12">
      <c r="A266" s="1" t="s">
        <v>3739</v>
      </c>
      <c r="B266" s="7">
        <v>35.450000000000003</v>
      </c>
      <c r="C266" s="7">
        <v>36.9</v>
      </c>
      <c r="D266" s="16">
        <f t="shared" si="16"/>
        <v>4.0902679830747406E-2</v>
      </c>
      <c r="E266" s="9">
        <v>36.9</v>
      </c>
      <c r="F266" s="16">
        <f t="shared" si="15"/>
        <v>0</v>
      </c>
      <c r="G266" s="40"/>
      <c r="H266" s="16"/>
      <c r="I266" s="16"/>
      <c r="L266" s="16"/>
    </row>
    <row r="267" spans="1:12">
      <c r="A267" s="1" t="s">
        <v>3740</v>
      </c>
      <c r="B267" s="7">
        <v>35.78</v>
      </c>
      <c r="C267" s="7">
        <v>36.9</v>
      </c>
      <c r="D267" s="16">
        <f t="shared" si="16"/>
        <v>3.1302403577417481E-2</v>
      </c>
      <c r="E267" s="9">
        <v>36.9</v>
      </c>
      <c r="F267" s="16">
        <f t="shared" si="15"/>
        <v>0</v>
      </c>
      <c r="G267" s="40"/>
      <c r="H267" s="16"/>
      <c r="I267" s="16"/>
      <c r="L267" s="16"/>
    </row>
    <row r="268" spans="1:12">
      <c r="A268" s="1" t="s">
        <v>3741</v>
      </c>
      <c r="B268" s="7">
        <v>33.14</v>
      </c>
      <c r="C268" s="7">
        <v>36.9</v>
      </c>
      <c r="D268" s="16">
        <f t="shared" si="16"/>
        <v>0.1134580567290283</v>
      </c>
      <c r="E268" s="9">
        <v>36.9</v>
      </c>
      <c r="F268" s="16">
        <f t="shared" si="15"/>
        <v>0</v>
      </c>
      <c r="G268" s="40"/>
      <c r="H268" s="16"/>
      <c r="I268" s="16"/>
      <c r="L268" s="16"/>
    </row>
    <row r="269" spans="1:12" ht="25.5">
      <c r="A269" s="1" t="s">
        <v>3742</v>
      </c>
      <c r="B269" s="7">
        <v>35.130000000000003</v>
      </c>
      <c r="C269" s="7">
        <v>36.9</v>
      </c>
      <c r="D269" s="16">
        <f t="shared" si="16"/>
        <v>5.038428693424412E-2</v>
      </c>
      <c r="E269" s="9">
        <v>36.9</v>
      </c>
      <c r="F269" s="16">
        <f t="shared" si="15"/>
        <v>0</v>
      </c>
      <c r="G269" s="40"/>
      <c r="H269" s="16"/>
      <c r="I269" s="16"/>
      <c r="L269" s="16"/>
    </row>
    <row r="270" spans="1:12">
      <c r="A270" s="1" t="s">
        <v>3743</v>
      </c>
      <c r="B270" s="7">
        <v>35.18</v>
      </c>
      <c r="C270" s="7">
        <v>36.9</v>
      </c>
      <c r="D270" s="16">
        <f t="shared" si="16"/>
        <v>4.8891415577032374E-2</v>
      </c>
      <c r="E270" s="9">
        <v>36.9</v>
      </c>
      <c r="F270" s="16">
        <f t="shared" si="15"/>
        <v>0</v>
      </c>
      <c r="G270" s="40"/>
      <c r="H270" s="16"/>
      <c r="I270" s="16"/>
      <c r="L270" s="16"/>
    </row>
    <row r="271" spans="1:12">
      <c r="A271" s="1" t="s">
        <v>3744</v>
      </c>
      <c r="B271" s="7">
        <v>35.18</v>
      </c>
      <c r="C271" s="7">
        <v>36.9</v>
      </c>
      <c r="D271" s="16">
        <f t="shared" si="16"/>
        <v>4.8891415577032374E-2</v>
      </c>
      <c r="E271" s="9">
        <v>36.9</v>
      </c>
      <c r="F271" s="16">
        <f t="shared" si="15"/>
        <v>0</v>
      </c>
      <c r="G271" s="40"/>
      <c r="H271" s="16"/>
      <c r="I271" s="16"/>
      <c r="L271" s="16"/>
    </row>
    <row r="272" spans="1:12">
      <c r="A272" s="1" t="s">
        <v>3745</v>
      </c>
      <c r="B272" s="7">
        <v>35.18</v>
      </c>
      <c r="C272" s="7">
        <v>36.9</v>
      </c>
      <c r="D272" s="16">
        <f t="shared" si="16"/>
        <v>4.8891415577032374E-2</v>
      </c>
      <c r="E272" s="9">
        <v>36.9</v>
      </c>
      <c r="F272" s="16">
        <f t="shared" si="15"/>
        <v>0</v>
      </c>
      <c r="G272" s="40"/>
      <c r="H272" s="16"/>
      <c r="I272" s="16"/>
      <c r="L272" s="16"/>
    </row>
    <row r="273" spans="1:12">
      <c r="A273" s="1" t="s">
        <v>3746</v>
      </c>
      <c r="B273" s="7">
        <v>35.619999999999997</v>
      </c>
      <c r="C273" s="7">
        <v>36.9</v>
      </c>
      <c r="D273" s="16">
        <f t="shared" si="16"/>
        <v>3.593486805165641E-2</v>
      </c>
      <c r="E273" s="9">
        <v>36.9</v>
      </c>
      <c r="F273" s="16">
        <f t="shared" si="15"/>
        <v>0</v>
      </c>
      <c r="G273" s="40"/>
      <c r="H273" s="16"/>
      <c r="I273" s="16"/>
      <c r="L273" s="16"/>
    </row>
    <row r="274" spans="1:12">
      <c r="A274" s="1" t="s">
        <v>3747</v>
      </c>
      <c r="B274" s="7">
        <v>36.04</v>
      </c>
      <c r="C274" s="7">
        <v>36.9</v>
      </c>
      <c r="D274" s="16">
        <f t="shared" si="16"/>
        <v>2.3862375138734723E-2</v>
      </c>
      <c r="E274" s="9">
        <v>36.9</v>
      </c>
      <c r="F274" s="16">
        <f t="shared" si="15"/>
        <v>0</v>
      </c>
      <c r="G274" s="40"/>
      <c r="H274" s="16"/>
      <c r="I274" s="16"/>
      <c r="L274" s="16"/>
    </row>
    <row r="275" spans="1:12">
      <c r="A275" s="2" t="s">
        <v>3748</v>
      </c>
      <c r="B275" s="10">
        <f>B274+0.5</f>
        <v>36.54</v>
      </c>
      <c r="C275" s="10">
        <f>C274+0.5</f>
        <v>37.4</v>
      </c>
      <c r="D275" s="16">
        <f t="shared" si="16"/>
        <v>2.3535851122058003E-2</v>
      </c>
      <c r="E275" s="9">
        <v>36.9</v>
      </c>
      <c r="F275" s="16">
        <f t="shared" si="15"/>
        <v>1.3550135501355014E-2</v>
      </c>
      <c r="G275" s="40"/>
      <c r="H275" s="16"/>
      <c r="I275" s="16"/>
      <c r="L275" s="16"/>
    </row>
    <row r="276" spans="1:12">
      <c r="A276" s="1"/>
      <c r="B276" s="7"/>
      <c r="C276" s="7"/>
      <c r="D276" s="16"/>
      <c r="E276" s="9"/>
      <c r="F276" s="16"/>
      <c r="G276" s="40"/>
      <c r="H276" s="16"/>
      <c r="I276" s="16"/>
      <c r="L276" s="16"/>
    </row>
    <row r="277" spans="1:12">
      <c r="A277" s="2" t="s">
        <v>3666</v>
      </c>
      <c r="B277" s="7"/>
      <c r="C277" s="31" t="s">
        <v>3498</v>
      </c>
      <c r="D277" s="43"/>
      <c r="E277" s="44"/>
      <c r="F277" s="43"/>
      <c r="G277" s="23" t="s">
        <v>3984</v>
      </c>
      <c r="H277" s="43"/>
      <c r="I277" s="43">
        <f>AVERAGE(F278)</f>
        <v>0</v>
      </c>
      <c r="J277" s="8"/>
      <c r="K277" s="8"/>
      <c r="L277" s="43"/>
    </row>
    <row r="278" spans="1:12">
      <c r="A278" s="1" t="s">
        <v>3667</v>
      </c>
      <c r="B278" s="7">
        <v>31.91</v>
      </c>
      <c r="C278" s="7">
        <v>22.34</v>
      </c>
      <c r="D278" s="16">
        <f>(C278-B278)/B278</f>
        <v>-0.2999059855844563</v>
      </c>
      <c r="E278" s="9">
        <v>22.34</v>
      </c>
      <c r="F278" s="16">
        <f>(C278-E278)/E278</f>
        <v>0</v>
      </c>
      <c r="G278" s="40"/>
      <c r="H278" s="16"/>
      <c r="I278" s="16"/>
      <c r="L278" s="16"/>
    </row>
    <row r="279" spans="1:12">
      <c r="A279" s="1"/>
      <c r="B279" s="7"/>
      <c r="C279" s="7"/>
      <c r="D279" s="16"/>
      <c r="E279" s="9"/>
      <c r="F279" s="16"/>
      <c r="G279" s="40"/>
      <c r="H279" s="16"/>
      <c r="I279" s="16"/>
      <c r="L279" s="16"/>
    </row>
    <row r="280" spans="1:12" ht="63.75">
      <c r="A280" s="2" t="s">
        <v>3668</v>
      </c>
      <c r="B280" s="12" t="s">
        <v>3649</v>
      </c>
      <c r="C280" s="12" t="s">
        <v>3649</v>
      </c>
      <c r="D280" s="43"/>
      <c r="E280" s="44"/>
      <c r="F280" s="43"/>
      <c r="G280" s="23" t="s">
        <v>3983</v>
      </c>
      <c r="H280" s="43">
        <f>AVERAGE(F281)</f>
        <v>2.1562766865926515E-2</v>
      </c>
      <c r="I280" s="43"/>
      <c r="J280" s="8"/>
      <c r="K280" s="8"/>
      <c r="L280" s="43"/>
    </row>
    <row r="281" spans="1:12" ht="25.5">
      <c r="A281" s="1" t="s">
        <v>3670</v>
      </c>
      <c r="B281" s="7">
        <v>46.1</v>
      </c>
      <c r="C281" s="7">
        <v>47.85</v>
      </c>
      <c r="D281" s="16">
        <f>(C281-B281)/B281</f>
        <v>3.7960954446854663E-2</v>
      </c>
      <c r="E281" s="9">
        <v>46.84</v>
      </c>
      <c r="F281" s="16">
        <f>(C281-E281)/E281</f>
        <v>2.1562766865926515E-2</v>
      </c>
      <c r="G281" s="40"/>
      <c r="H281" s="16"/>
      <c r="I281" s="16"/>
      <c r="L281" s="16"/>
    </row>
    <row r="282" spans="1:12">
      <c r="A282" s="1"/>
      <c r="B282" s="7"/>
      <c r="C282" s="7"/>
      <c r="D282" s="16"/>
      <c r="E282" s="9"/>
      <c r="F282" s="16"/>
      <c r="G282" s="40"/>
      <c r="H282" s="16"/>
      <c r="I282" s="16"/>
      <c r="L282" s="16"/>
    </row>
    <row r="283" spans="1:12">
      <c r="A283" s="2" t="s">
        <v>3671</v>
      </c>
      <c r="B283" s="7"/>
      <c r="C283" s="31" t="s">
        <v>3487</v>
      </c>
      <c r="D283" s="43"/>
      <c r="E283" s="44"/>
      <c r="F283" s="43"/>
      <c r="G283" s="23" t="s">
        <v>3983</v>
      </c>
      <c r="H283" s="43">
        <f>AVERAGE(F284:F287)</f>
        <v>-2.9934847684451788E-3</v>
      </c>
      <c r="I283" s="43"/>
      <c r="J283" s="8"/>
      <c r="K283" s="8"/>
      <c r="L283" s="43"/>
    </row>
    <row r="284" spans="1:12">
      <c r="A284" s="1" t="s">
        <v>3672</v>
      </c>
      <c r="B284" s="7">
        <v>45.65</v>
      </c>
      <c r="C284" s="7">
        <v>56.62</v>
      </c>
      <c r="D284" s="16">
        <f>(C284-B284)/B284</f>
        <v>0.24030668127053667</v>
      </c>
      <c r="E284" s="9">
        <v>56.79</v>
      </c>
      <c r="F284" s="16">
        <f>(C284-E284)/E284</f>
        <v>-2.9934847684451788E-3</v>
      </c>
      <c r="G284" s="40"/>
      <c r="H284" s="16"/>
      <c r="I284" s="16"/>
      <c r="L284" s="16"/>
    </row>
    <row r="285" spans="1:12">
      <c r="A285" s="1"/>
      <c r="B285" s="7"/>
      <c r="C285" s="7"/>
      <c r="D285" s="16"/>
      <c r="E285" s="9"/>
      <c r="F285" s="16"/>
      <c r="G285" s="40"/>
      <c r="H285" s="16"/>
      <c r="I285" s="16"/>
      <c r="L285" s="16"/>
    </row>
    <row r="286" spans="1:12">
      <c r="A286" s="2" t="s">
        <v>3673</v>
      </c>
      <c r="B286" s="7"/>
      <c r="C286" s="7" t="s">
        <v>3487</v>
      </c>
      <c r="D286" s="16"/>
      <c r="E286" s="9"/>
      <c r="F286" s="16"/>
      <c r="G286" s="40"/>
      <c r="H286" s="16"/>
      <c r="I286" s="16"/>
      <c r="L286" s="16"/>
    </row>
    <row r="287" spans="1:12">
      <c r="A287" s="1" t="s">
        <v>3674</v>
      </c>
      <c r="B287" s="7">
        <v>45.65</v>
      </c>
      <c r="C287" s="7">
        <v>56.62</v>
      </c>
      <c r="D287" s="16">
        <f>(C287-B287)/B287</f>
        <v>0.24030668127053667</v>
      </c>
      <c r="E287" s="9">
        <v>56.79</v>
      </c>
      <c r="F287" s="16">
        <f>(C287-E287)/E287</f>
        <v>-2.9934847684451788E-3</v>
      </c>
      <c r="G287" s="40"/>
      <c r="H287" s="16"/>
      <c r="I287" s="16"/>
      <c r="L287" s="16"/>
    </row>
    <row r="288" spans="1:12">
      <c r="D288" s="16"/>
    </row>
    <row r="289" spans="1:7">
      <c r="D289" s="16"/>
    </row>
    <row r="290" spans="1:7">
      <c r="A290" s="8" t="s">
        <v>3988</v>
      </c>
      <c r="B290" s="7"/>
      <c r="D290" s="16"/>
      <c r="E290" s="9"/>
      <c r="F290" s="16"/>
      <c r="G290" s="40"/>
    </row>
    <row r="291" spans="1:7">
      <c r="A291" s="1" t="s">
        <v>3986</v>
      </c>
      <c r="B291" s="7"/>
      <c r="D291" s="16"/>
      <c r="E291" s="9"/>
      <c r="F291" s="16"/>
      <c r="G291" s="40">
        <f>COUNTIF(G4:G287,"Y")</f>
        <v>27</v>
      </c>
    </row>
    <row r="292" spans="1:7">
      <c r="A292" s="1" t="s">
        <v>3987</v>
      </c>
      <c r="B292" s="7"/>
      <c r="D292" s="16"/>
      <c r="E292" s="9"/>
      <c r="F292" s="16"/>
      <c r="G292" s="41">
        <f>COUNTIF(G4:G288,"N")</f>
        <v>11</v>
      </c>
    </row>
    <row r="293" spans="1:7">
      <c r="A293" s="8" t="s">
        <v>3985</v>
      </c>
      <c r="B293"/>
      <c r="E293" s="9"/>
      <c r="F293" s="16"/>
      <c r="G293" s="23">
        <f>SUM(G291:G292)</f>
        <v>38</v>
      </c>
    </row>
  </sheetData>
  <mergeCells count="23">
    <mergeCell ref="B193:B194"/>
    <mergeCell ref="A225:B225"/>
    <mergeCell ref="A227:B227"/>
    <mergeCell ref="A167:B167"/>
    <mergeCell ref="A176:B176"/>
    <mergeCell ref="A177:B177"/>
    <mergeCell ref="A178:B178"/>
    <mergeCell ref="C130:C131"/>
    <mergeCell ref="C147:C148"/>
    <mergeCell ref="A8:B8"/>
    <mergeCell ref="A27:B27"/>
    <mergeCell ref="A66:B66"/>
    <mergeCell ref="A70:B70"/>
    <mergeCell ref="C81:C82"/>
    <mergeCell ref="C109:C110"/>
    <mergeCell ref="B109:B110"/>
    <mergeCell ref="A129:B129"/>
    <mergeCell ref="B130:B131"/>
    <mergeCell ref="B147:B148"/>
    <mergeCell ref="A80:B80"/>
    <mergeCell ref="B81:B82"/>
    <mergeCell ref="A102:B102"/>
    <mergeCell ref="A108:B108"/>
  </mergeCells>
  <phoneticPr fontId="2" type="noConversion"/>
  <hyperlinks>
    <hyperlink ref="A1" r:id="rId1" display="http://www.laborcommissioner.com/10rates/eureka.html"/>
    <hyperlink ref="B17" location="brick zone" display="brick zone"/>
    <hyperlink ref="B20" location="Carp" display="Carp"/>
    <hyperlink ref="B51" location="laborer zone" display="laborer zone"/>
    <hyperlink ref="B54" location="laborer zone" display="laborer zone"/>
    <hyperlink ref="B64" location="laborer zone" display="laborer zone"/>
    <hyperlink ref="B71" location="Hod Plaster Zone" display="Hod Plaster Zone"/>
    <hyperlink ref="B76" r:id="rId2" display="http://www.laborcommissioner.com/10rates/2010 Amendments/2010Amendment1.htm"/>
    <hyperlink ref="A82" location="LABORER GROUP" display="LABORER GROUP"/>
    <hyperlink ref="B81" location="laborer zone" display="laborer zone"/>
    <hyperlink ref="B98" r:id="rId3" display="http://www.laborcommissioner.com/10rates/2010 Amendments/2010Amendment2.htm"/>
    <hyperlink ref="A110" location="OP GROUPS" display="OP GROUPS"/>
    <hyperlink ref="B109" location="OP ZONE" display="OP ZONE"/>
    <hyperlink ref="A131" location="OP GROUP  STEEL" display="OP GROUP  STEEL"/>
    <hyperlink ref="B130" location="OP ZONE" display="OP ZONE"/>
    <hyperlink ref="A148" location="OP GROUP PILEDRIVER" display="OP GROUP PILEDRIVER"/>
    <hyperlink ref="B147" location="OP ZONE" display="OP ZONE"/>
    <hyperlink ref="B182" location="PLAS ZONE" display="PLAS ZONE"/>
    <hyperlink ref="B223" location="laborer zone" display="laborer zone"/>
    <hyperlink ref="B226" location="truckzone" display="truckzone"/>
    <hyperlink ref="B280" location="OP ZONE" display="OP ZONE"/>
    <hyperlink ref="B4" location="SHEET" display="SHEET"/>
    <hyperlink ref="C17" location="brick zone" display="brick zone"/>
    <hyperlink ref="C20" location="Carp" display="Carp"/>
    <hyperlink ref="C54" location="laborer zone" display="laborer zone"/>
    <hyperlink ref="C64" location="laborer zone" display="laborer zone"/>
    <hyperlink ref="C81" location="laborer zone" display="laborer zone"/>
    <hyperlink ref="C109" location="OP ZONE" display="OP ZONE"/>
    <hyperlink ref="C130" location="OP ZONE" display="OP ZONE"/>
    <hyperlink ref="C147" location="OP ZONE" display="OP ZONE"/>
    <hyperlink ref="B211" location="TILE 09" display="TILE 09"/>
    <hyperlink ref="B214" location="TILE 09" display="TILE 09"/>
    <hyperlink ref="C223" location="laborer zone" display="laborer zone"/>
    <hyperlink ref="C226" location="truckzone" display="truckzone"/>
    <hyperlink ref="C280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3"/>
  <sheetViews>
    <sheetView workbookViewId="0">
      <selection activeCell="M1" sqref="M1:M1048576"/>
    </sheetView>
  </sheetViews>
  <sheetFormatPr defaultRowHeight="12.75"/>
  <cols>
    <col min="1" max="1" width="32.7109375" customWidth="1"/>
    <col min="2" max="3" width="9.140625" style="9"/>
    <col min="4" max="4" width="12.5703125" customWidth="1"/>
    <col min="6" max="6" width="19.42578125" customWidth="1"/>
    <col min="8" max="8" width="11.42578125" customWidth="1"/>
    <col min="9" max="9" width="10.7109375" customWidth="1"/>
    <col min="11" max="11" width="16.28515625" customWidth="1"/>
    <col min="12" max="12" width="10.5703125" customWidth="1"/>
  </cols>
  <sheetData>
    <row r="1" spans="1:12" ht="47.25" customHeight="1">
      <c r="A1" s="48" t="s">
        <v>4000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37"/>
      <c r="C2" s="37"/>
      <c r="D2" s="21">
        <f>AVERAGE(D4:D327)</f>
        <v>5.8058938115155889E-2</v>
      </c>
      <c r="F2" s="21">
        <f>AVERAGE(F4:F268)</f>
        <v>3.4121052336784301E-2</v>
      </c>
      <c r="H2" s="21">
        <f>AVERAGE(H4:H268)</f>
        <v>2.402995373849906E-2</v>
      </c>
      <c r="I2" s="21">
        <f>AVERAGE(I4:I268)</f>
        <v>-1.8883725340269907E-2</v>
      </c>
      <c r="L2" s="21">
        <f>AVERAGE(L4:L268)</f>
        <v>-5.3276269185360062E-2</v>
      </c>
    </row>
    <row r="4" spans="1:12" ht="63.75">
      <c r="A4" s="2" t="s">
        <v>3500</v>
      </c>
      <c r="B4" s="12" t="s">
        <v>3501</v>
      </c>
      <c r="C4" s="55" t="s">
        <v>3498</v>
      </c>
      <c r="D4" s="8"/>
      <c r="E4" s="44"/>
      <c r="F4" s="43"/>
      <c r="G4" s="23" t="s">
        <v>3983</v>
      </c>
      <c r="H4" s="43">
        <f>AVERAGE(F5:F7)</f>
        <v>0.47112635791881097</v>
      </c>
      <c r="I4" s="8"/>
      <c r="J4" s="44"/>
      <c r="K4" s="44"/>
      <c r="L4" s="8"/>
    </row>
    <row r="5" spans="1:12">
      <c r="A5" s="1" t="s">
        <v>3502</v>
      </c>
      <c r="B5" s="7">
        <v>46.6</v>
      </c>
      <c r="C5" s="7">
        <v>48.35</v>
      </c>
      <c r="D5" s="16">
        <f>(C5-B5)/B5</f>
        <v>3.7553648068669523E-2</v>
      </c>
      <c r="E5" s="9">
        <v>34.979999999999997</v>
      </c>
      <c r="F5" s="16">
        <f>(C5-E5)/E5</f>
        <v>0.38221841052029748</v>
      </c>
      <c r="G5" s="40"/>
      <c r="J5" s="9"/>
      <c r="K5" s="9"/>
    </row>
    <row r="6" spans="1:12">
      <c r="A6" s="1" t="s">
        <v>3503</v>
      </c>
      <c r="B6" s="7">
        <v>49.62</v>
      </c>
      <c r="C6" s="7">
        <v>51.46</v>
      </c>
      <c r="D6" s="16">
        <f>(C6-B6)/B6</f>
        <v>3.70818218460299E-2</v>
      </c>
      <c r="E6" s="9">
        <v>34.979999999999997</v>
      </c>
      <c r="F6" s="16">
        <f>(C6-E6)/E6</f>
        <v>0.47112635791881091</v>
      </c>
      <c r="G6" s="40"/>
      <c r="J6" s="9"/>
      <c r="K6" s="9"/>
    </row>
    <row r="7" spans="1:12">
      <c r="A7" s="1" t="s">
        <v>3504</v>
      </c>
      <c r="B7" s="7">
        <v>52.64</v>
      </c>
      <c r="C7" s="7">
        <v>54.57</v>
      </c>
      <c r="D7" s="16">
        <f>(C7-B7)/B7</f>
        <v>3.666413373860182E-2</v>
      </c>
      <c r="E7" s="9">
        <v>34.979999999999997</v>
      </c>
      <c r="F7" s="16">
        <f>(C7-E7)/E7</f>
        <v>0.56003430531732434</v>
      </c>
      <c r="G7" s="40"/>
      <c r="J7" s="9"/>
      <c r="K7" s="9"/>
    </row>
    <row r="8" spans="1:12">
      <c r="A8" s="1"/>
      <c r="B8" s="7"/>
      <c r="C8" s="7"/>
      <c r="E8" s="9"/>
      <c r="F8" s="16"/>
      <c r="G8" s="40"/>
      <c r="J8" s="9"/>
      <c r="K8" s="9"/>
    </row>
    <row r="9" spans="1:12">
      <c r="A9" s="2" t="s">
        <v>3505</v>
      </c>
      <c r="B9" s="7"/>
      <c r="C9" s="31"/>
      <c r="D9" s="8"/>
      <c r="E9" s="44"/>
      <c r="F9" s="43"/>
      <c r="G9" s="23" t="s">
        <v>3984</v>
      </c>
      <c r="H9" s="8"/>
      <c r="I9" s="43">
        <f>AVERAGE(F10)</f>
        <v>-9.7388849682427725E-2</v>
      </c>
      <c r="J9" s="44"/>
      <c r="K9" s="44"/>
      <c r="L9" s="8"/>
    </row>
    <row r="10" spans="1:12">
      <c r="A10" s="1" t="s">
        <v>3903</v>
      </c>
      <c r="B10" s="7">
        <v>25.69</v>
      </c>
      <c r="C10" s="7">
        <v>25.58</v>
      </c>
      <c r="D10" s="16">
        <f>(C10-B10)/B10</f>
        <v>-4.2818217205139349E-3</v>
      </c>
      <c r="E10" s="9">
        <v>28.34</v>
      </c>
      <c r="F10" s="16">
        <f>(C10-E10)/E10</f>
        <v>-9.7388849682427725E-2</v>
      </c>
      <c r="G10" s="40"/>
      <c r="J10" s="9"/>
      <c r="K10" s="9"/>
    </row>
    <row r="11" spans="1:12">
      <c r="A11" s="1"/>
      <c r="B11" s="7"/>
      <c r="C11" s="7"/>
      <c r="E11" s="9"/>
      <c r="F11" s="16"/>
      <c r="G11" s="40"/>
      <c r="J11" s="9"/>
      <c r="K11" s="9"/>
    </row>
    <row r="12" spans="1:12">
      <c r="A12" s="2" t="s">
        <v>3507</v>
      </c>
      <c r="B12" s="11" t="s">
        <v>3534</v>
      </c>
      <c r="C12" s="55" t="s">
        <v>3981</v>
      </c>
      <c r="D12" s="8"/>
      <c r="E12" s="44"/>
      <c r="F12" s="43"/>
      <c r="G12" s="23" t="s">
        <v>3983</v>
      </c>
      <c r="H12" s="43">
        <f>AVERAGE(F13:F15)</f>
        <v>1.8693032596941044E-2</v>
      </c>
      <c r="I12" s="8"/>
      <c r="J12" s="44"/>
      <c r="K12" s="44"/>
      <c r="L12" s="8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J13" s="9"/>
      <c r="K13" s="9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J14" s="9"/>
      <c r="K14" s="9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G15" s="40"/>
      <c r="J15" s="9"/>
      <c r="K15" s="9"/>
    </row>
    <row r="16" spans="1:12">
      <c r="A16" s="1"/>
      <c r="B16" s="7"/>
      <c r="C16" s="7"/>
      <c r="E16" s="9"/>
      <c r="F16" s="16"/>
      <c r="G16" s="40"/>
      <c r="J16" s="9"/>
      <c r="K16" s="9"/>
    </row>
    <row r="17" spans="1:12" ht="38.25">
      <c r="A17" s="2" t="s">
        <v>3509</v>
      </c>
      <c r="B17" s="12" t="s">
        <v>3510</v>
      </c>
      <c r="C17" s="55" t="s">
        <v>3496</v>
      </c>
      <c r="D17" s="8"/>
      <c r="E17" s="44"/>
      <c r="F17" s="43"/>
      <c r="G17" s="23" t="s">
        <v>3983</v>
      </c>
      <c r="H17" s="43">
        <f>AVERAGE(F18)</f>
        <v>-0.28065155183799251</v>
      </c>
      <c r="I17" s="8"/>
      <c r="J17" s="44"/>
      <c r="K17" s="44"/>
      <c r="L17" s="8"/>
    </row>
    <row r="18" spans="1:12">
      <c r="A18" s="1" t="s">
        <v>3904</v>
      </c>
      <c r="B18" s="7">
        <v>32.68</v>
      </c>
      <c r="C18" s="7">
        <v>32.68</v>
      </c>
      <c r="D18" s="16">
        <f>(C18-B18)/B18</f>
        <v>0</v>
      </c>
      <c r="E18" s="9">
        <v>45.43</v>
      </c>
      <c r="F18" s="16">
        <f>(C18-E18)/E18</f>
        <v>-0.28065155183799251</v>
      </c>
      <c r="G18" s="40"/>
      <c r="J18" s="9"/>
      <c r="K18" s="9"/>
    </row>
    <row r="19" spans="1:12">
      <c r="A19" s="1"/>
      <c r="B19" s="7"/>
      <c r="C19" s="7"/>
      <c r="E19" s="9"/>
      <c r="F19" s="16"/>
      <c r="G19" s="40"/>
      <c r="J19" s="9"/>
      <c r="K19" s="9"/>
    </row>
    <row r="20" spans="1:12" ht="38.25">
      <c r="A20" s="2" t="s">
        <v>3514</v>
      </c>
      <c r="B20" s="12" t="s">
        <v>3510</v>
      </c>
      <c r="C20" s="12" t="s">
        <v>3510</v>
      </c>
      <c r="D20" s="8"/>
      <c r="E20" s="44"/>
      <c r="F20" s="43"/>
      <c r="G20" s="23" t="s">
        <v>3983</v>
      </c>
      <c r="H20" s="43">
        <f>AVERAGE(F21)</f>
        <v>-1.4728288471305367E-2</v>
      </c>
      <c r="I20" s="8"/>
      <c r="J20" s="44"/>
      <c r="K20" s="44"/>
      <c r="L20" s="8"/>
    </row>
    <row r="21" spans="1:12">
      <c r="A21" s="1" t="s">
        <v>3921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39.380000000000003</v>
      </c>
      <c r="F21" s="16">
        <f>(C21-E21)/E21</f>
        <v>-1.4728288471305367E-2</v>
      </c>
      <c r="G21" s="40"/>
      <c r="J21" s="9"/>
      <c r="K21" s="9"/>
    </row>
    <row r="22" spans="1:12">
      <c r="A22" s="1"/>
      <c r="B22" s="7"/>
      <c r="C22" s="7"/>
      <c r="E22" s="9"/>
      <c r="F22" s="16"/>
      <c r="G22" s="40"/>
      <c r="J22" s="9"/>
      <c r="K22" s="9"/>
    </row>
    <row r="23" spans="1:12">
      <c r="A23" s="2" t="s">
        <v>3517</v>
      </c>
      <c r="B23" s="7"/>
      <c r="C23" s="31"/>
      <c r="D23" s="8"/>
      <c r="E23" s="44"/>
      <c r="F23" s="43"/>
      <c r="G23" s="23" t="s">
        <v>3983</v>
      </c>
      <c r="H23" s="43">
        <f>AVERAGE(F24)</f>
        <v>0</v>
      </c>
      <c r="I23" s="8"/>
      <c r="J23" s="44"/>
      <c r="K23" s="44"/>
      <c r="L23" s="8"/>
    </row>
    <row r="24" spans="1:12">
      <c r="A24" s="1" t="s">
        <v>3944</v>
      </c>
      <c r="B24" s="7">
        <v>17</v>
      </c>
      <c r="C24" s="7">
        <v>34.4</v>
      </c>
      <c r="D24" s="16">
        <f>(C24-B24)/B24</f>
        <v>1.0235294117647058</v>
      </c>
      <c r="E24" s="9">
        <v>34.4</v>
      </c>
      <c r="F24" s="16">
        <f>(C24-E24)/E24</f>
        <v>0</v>
      </c>
      <c r="G24" s="40"/>
      <c r="J24" s="9"/>
      <c r="K24" s="9"/>
    </row>
    <row r="25" spans="1:12">
      <c r="A25" s="143"/>
      <c r="B25" s="143"/>
      <c r="C25" s="7"/>
      <c r="E25" s="9"/>
      <c r="F25" s="16"/>
      <c r="G25" s="40"/>
      <c r="J25" s="9"/>
      <c r="K25" s="9"/>
    </row>
    <row r="26" spans="1:12" ht="12.75" customHeight="1">
      <c r="A26" s="144" t="s">
        <v>3676</v>
      </c>
      <c r="B26" s="144"/>
      <c r="C26" s="31"/>
      <c r="D26" s="8"/>
      <c r="E26" s="44"/>
      <c r="F26" s="43"/>
      <c r="G26" s="23" t="s">
        <v>3984</v>
      </c>
      <c r="H26" s="8"/>
      <c r="I26" s="43">
        <f>AVERAGE(F27)</f>
        <v>0</v>
      </c>
      <c r="J26" s="44"/>
      <c r="K26" s="44"/>
      <c r="L26" s="8"/>
    </row>
    <row r="27" spans="1:12" ht="25.5">
      <c r="A27" s="1" t="s">
        <v>3929</v>
      </c>
      <c r="B27" s="7">
        <v>27.97</v>
      </c>
      <c r="C27" s="7">
        <v>25.66</v>
      </c>
      <c r="D27" s="16">
        <f>(C27-B27)/B27</f>
        <v>-8.2588487665355689E-2</v>
      </c>
      <c r="E27" s="9">
        <v>25.66</v>
      </c>
      <c r="F27" s="16">
        <f>(C27-E27)/E27</f>
        <v>0</v>
      </c>
      <c r="G27" s="40"/>
      <c r="J27" s="9"/>
      <c r="K27" s="9"/>
    </row>
    <row r="28" spans="1:12">
      <c r="A28" s="1"/>
      <c r="B28" s="7"/>
      <c r="C28" s="7"/>
      <c r="E28" s="9"/>
      <c r="F28" s="16"/>
      <c r="G28" s="40"/>
      <c r="J28" s="9"/>
      <c r="K28" s="9"/>
    </row>
    <row r="29" spans="1:12">
      <c r="A29" s="2" t="s">
        <v>3527</v>
      </c>
      <c r="B29" s="11" t="s">
        <v>3534</v>
      </c>
      <c r="C29" s="33" t="s">
        <v>3534</v>
      </c>
      <c r="D29" s="8"/>
      <c r="E29" s="44"/>
      <c r="F29" s="43"/>
      <c r="G29" s="23" t="s">
        <v>3983</v>
      </c>
      <c r="H29" s="43">
        <f>AVERAGE(F30:F34)</f>
        <v>2.2015392876320074E-2</v>
      </c>
      <c r="I29" s="8"/>
      <c r="J29" s="44"/>
      <c r="K29" s="44"/>
      <c r="L29" s="8"/>
    </row>
    <row r="30" spans="1:12">
      <c r="A30" s="1" t="s">
        <v>3764</v>
      </c>
      <c r="B30" s="7">
        <v>39.19</v>
      </c>
      <c r="C30" s="7">
        <v>40.5</v>
      </c>
      <c r="D30" s="16">
        <f>(C30-B30)/B30</f>
        <v>3.3426894615973521E-2</v>
      </c>
      <c r="E30" s="9">
        <v>55.87</v>
      </c>
      <c r="F30" s="16">
        <f>(C30-E30)/E30</f>
        <v>-0.27510291748702342</v>
      </c>
      <c r="G30" s="40"/>
      <c r="J30" s="9"/>
      <c r="K30" s="9"/>
    </row>
    <row r="31" spans="1:12">
      <c r="A31" s="1" t="s">
        <v>3765</v>
      </c>
      <c r="B31" s="7">
        <v>57.91</v>
      </c>
      <c r="C31" s="7">
        <v>59.9</v>
      </c>
      <c r="D31" s="16">
        <f>(C31-B31)/B31</f>
        <v>3.4363667760317768E-2</v>
      </c>
      <c r="E31" s="9">
        <v>55.87</v>
      </c>
      <c r="F31" s="16">
        <f>(C31-E31)/E31</f>
        <v>7.2131734383390031E-2</v>
      </c>
      <c r="G31" s="40"/>
      <c r="J31" s="9"/>
      <c r="K31" s="9"/>
    </row>
    <row r="32" spans="1:12">
      <c r="A32" s="1" t="s">
        <v>3601</v>
      </c>
      <c r="B32" s="7">
        <v>63.02</v>
      </c>
      <c r="C32" s="7">
        <v>65.16</v>
      </c>
      <c r="D32" s="16">
        <f>(C32-B32)/B32</f>
        <v>3.3957473817835503E-2</v>
      </c>
      <c r="E32" s="9">
        <v>55.87</v>
      </c>
      <c r="F32" s="16">
        <f>(C32-E32)/E32</f>
        <v>0.16627886164310005</v>
      </c>
      <c r="G32" s="40"/>
      <c r="J32" s="9"/>
      <c r="K32" s="9"/>
    </row>
    <row r="33" spans="1:12">
      <c r="A33" s="1" t="s">
        <v>3766</v>
      </c>
      <c r="B33" s="7">
        <v>68.12</v>
      </c>
      <c r="C33" s="7">
        <v>70.45</v>
      </c>
      <c r="D33" s="16">
        <f>(C33-B33)/B33</f>
        <v>3.4204345273047533E-2</v>
      </c>
      <c r="E33" s="9">
        <v>55.87</v>
      </c>
      <c r="F33" s="16">
        <f>(C33-E33)/E33</f>
        <v>0.26096294970467165</v>
      </c>
      <c r="G33" s="40"/>
      <c r="J33" s="9"/>
      <c r="K33" s="9"/>
    </row>
    <row r="34" spans="1:12">
      <c r="A34" s="1" t="s">
        <v>3945</v>
      </c>
      <c r="B34" s="7">
        <v>47.86</v>
      </c>
      <c r="C34" s="7">
        <v>49.49</v>
      </c>
      <c r="D34" s="16">
        <f>(C34-B34)/B34</f>
        <v>3.4057668198913552E-2</v>
      </c>
      <c r="E34" s="9">
        <v>55.87</v>
      </c>
      <c r="F34" s="16">
        <f>(C34-E34)/E34</f>
        <v>-0.11419366386253796</v>
      </c>
      <c r="G34" s="40"/>
      <c r="J34" s="9"/>
      <c r="K34" s="9"/>
    </row>
    <row r="35" spans="1:12">
      <c r="A35" s="1"/>
      <c r="B35" s="7"/>
      <c r="C35" s="7"/>
      <c r="E35" s="9"/>
      <c r="F35" s="16"/>
      <c r="G35" s="40"/>
      <c r="J35" s="9"/>
      <c r="K35" s="9"/>
    </row>
    <row r="36" spans="1:12">
      <c r="A36" s="2" t="s">
        <v>3533</v>
      </c>
      <c r="B36" s="11" t="s">
        <v>3534</v>
      </c>
      <c r="C36" s="31" t="s">
        <v>3981</v>
      </c>
      <c r="D36" s="8"/>
      <c r="E36" s="44"/>
      <c r="F36" s="43"/>
      <c r="G36" s="23" t="s">
        <v>3983</v>
      </c>
      <c r="H36" s="43">
        <f>AVERAGE(F37)</f>
        <v>5.7445868316395301E-3</v>
      </c>
      <c r="I36" s="8"/>
      <c r="J36" s="44"/>
      <c r="K36" s="44"/>
      <c r="L36" s="8"/>
    </row>
    <row r="37" spans="1:12">
      <c r="A37" s="1" t="s">
        <v>3535</v>
      </c>
      <c r="B37" s="7">
        <v>44.31</v>
      </c>
      <c r="C37" s="7">
        <v>45.52</v>
      </c>
      <c r="D37" s="16">
        <f>(C37-B37)/B37</f>
        <v>2.7307605506657655E-2</v>
      </c>
      <c r="E37" s="9">
        <v>45.26</v>
      </c>
      <c r="F37" s="16">
        <f>(C37-E37)/E37</f>
        <v>5.7445868316395301E-3</v>
      </c>
      <c r="G37" s="40"/>
      <c r="J37" s="9"/>
      <c r="K37" s="9"/>
    </row>
    <row r="38" spans="1:12">
      <c r="A38" s="1"/>
      <c r="B38" s="7"/>
      <c r="C38" s="7"/>
      <c r="E38" s="9"/>
      <c r="F38" s="16"/>
      <c r="G38" s="40"/>
      <c r="J38" s="9"/>
      <c r="K38" s="9"/>
    </row>
    <row r="39" spans="1:12">
      <c r="A39" s="2" t="s">
        <v>3536</v>
      </c>
      <c r="B39" s="11" t="s">
        <v>3534</v>
      </c>
      <c r="C39" s="33" t="s">
        <v>3534</v>
      </c>
      <c r="D39" s="8"/>
      <c r="E39" s="44"/>
      <c r="F39" s="43"/>
      <c r="G39" s="23" t="s">
        <v>3983</v>
      </c>
      <c r="H39" s="43">
        <f>AVERAGE(F40:F43)</f>
        <v>0.16053582819476925</v>
      </c>
      <c r="I39" s="8"/>
      <c r="J39" s="44"/>
      <c r="K39" s="44"/>
      <c r="L39" s="8"/>
    </row>
    <row r="40" spans="1:12">
      <c r="A40" s="1" t="s">
        <v>3537</v>
      </c>
      <c r="B40" s="7">
        <v>31.22</v>
      </c>
      <c r="C40" s="7">
        <v>50.78</v>
      </c>
      <c r="D40" s="16">
        <f>(C40-B40)/B40</f>
        <v>0.62652146060217817</v>
      </c>
      <c r="E40" s="9">
        <v>47.03</v>
      </c>
      <c r="F40" s="16">
        <f>(C40-E40)/E40</f>
        <v>7.9736338507335747E-2</v>
      </c>
      <c r="G40" s="40"/>
      <c r="J40" s="9"/>
      <c r="K40" s="9"/>
    </row>
    <row r="41" spans="1:12">
      <c r="A41" s="1" t="s">
        <v>3538</v>
      </c>
      <c r="B41" s="7">
        <v>31.22</v>
      </c>
      <c r="C41" s="7">
        <v>54.58</v>
      </c>
      <c r="D41" s="16">
        <f>(C41-B41)/B41</f>
        <v>0.74823830877642539</v>
      </c>
      <c r="E41" s="9">
        <v>47.03</v>
      </c>
      <c r="F41" s="16">
        <f>(C41-E41)/E41</f>
        <v>0.16053582819476922</v>
      </c>
      <c r="G41" s="40"/>
      <c r="J41" s="9"/>
      <c r="K41" s="9"/>
    </row>
    <row r="42" spans="1:12">
      <c r="A42" s="1" t="s">
        <v>3601</v>
      </c>
      <c r="B42" s="7">
        <v>31.22</v>
      </c>
      <c r="C42" s="7">
        <v>54.58</v>
      </c>
      <c r="D42" s="16">
        <f>(C42-B42)/B42</f>
        <v>0.74823830877642539</v>
      </c>
      <c r="E42" s="9">
        <v>47.03</v>
      </c>
      <c r="F42" s="16">
        <f>(C42-E42)/E42</f>
        <v>0.16053582819476922</v>
      </c>
      <c r="G42" s="40"/>
      <c r="J42" s="9"/>
      <c r="K42" s="9"/>
    </row>
    <row r="43" spans="1:12">
      <c r="A43" s="1" t="s">
        <v>3766</v>
      </c>
      <c r="B43" s="7">
        <v>31.22</v>
      </c>
      <c r="C43" s="7">
        <v>58.38</v>
      </c>
      <c r="D43" s="16">
        <f>(C43-B43)/B43</f>
        <v>0.86995515695067283</v>
      </c>
      <c r="E43" s="9">
        <v>47.03</v>
      </c>
      <c r="F43" s="16">
        <f>(C43-E43)/E43</f>
        <v>0.24133531788220286</v>
      </c>
      <c r="G43" s="40"/>
      <c r="J43" s="9"/>
      <c r="K43" s="9"/>
    </row>
    <row r="44" spans="1:12">
      <c r="A44" s="1"/>
      <c r="B44" s="7"/>
      <c r="C44" s="7"/>
      <c r="E44" s="9"/>
      <c r="F44" s="16"/>
      <c r="G44" s="40"/>
      <c r="J44" s="9"/>
      <c r="K44" s="9"/>
    </row>
    <row r="45" spans="1:12" ht="25.5">
      <c r="A45" s="2" t="s">
        <v>3541</v>
      </c>
      <c r="B45" s="11" t="s">
        <v>3534</v>
      </c>
      <c r="C45" s="31" t="s">
        <v>3497</v>
      </c>
      <c r="D45" s="8"/>
      <c r="E45" s="44"/>
      <c r="F45" s="43"/>
      <c r="G45" s="23" t="s">
        <v>3983</v>
      </c>
      <c r="H45" s="43">
        <f>AVERAGE(F46:F47)</f>
        <v>0.13484470327232381</v>
      </c>
      <c r="I45" s="8"/>
      <c r="J45" s="44"/>
      <c r="K45" s="44"/>
      <c r="L45" s="8"/>
    </row>
    <row r="46" spans="1:12" ht="25.5">
      <c r="A46" s="1" t="s">
        <v>3542</v>
      </c>
      <c r="B46" s="7">
        <v>46.01</v>
      </c>
      <c r="C46" s="7">
        <v>78.209999999999994</v>
      </c>
      <c r="D46" s="16">
        <f>(C46-B46)/B46</f>
        <v>0.69984785916105186</v>
      </c>
      <c r="E46" s="9">
        <v>72.12</v>
      </c>
      <c r="F46" s="16">
        <f>(C46-E46)/E46</f>
        <v>8.4442595673876714E-2</v>
      </c>
      <c r="G46" s="40"/>
      <c r="J46" s="9"/>
      <c r="K46" s="9"/>
    </row>
    <row r="47" spans="1:12" ht="25.5">
      <c r="A47" s="1" t="s">
        <v>3543</v>
      </c>
      <c r="B47" s="7">
        <v>46.01</v>
      </c>
      <c r="C47" s="7">
        <v>85.48</v>
      </c>
      <c r="D47" s="16">
        <f>(C47-B47)/B47</f>
        <v>0.85785698761138895</v>
      </c>
      <c r="E47" s="9">
        <v>72.12</v>
      </c>
      <c r="F47" s="16">
        <f>(C47-E47)/E47</f>
        <v>0.18524681087077091</v>
      </c>
      <c r="G47" s="40"/>
      <c r="J47" s="9"/>
      <c r="K47" s="9"/>
    </row>
    <row r="48" spans="1:12">
      <c r="A48" s="1"/>
      <c r="B48" s="7"/>
      <c r="C48" s="7"/>
      <c r="E48" s="9"/>
      <c r="F48" s="16"/>
      <c r="G48" s="40"/>
      <c r="J48" s="9"/>
      <c r="K48" s="9"/>
    </row>
    <row r="49" spans="1:12" ht="51">
      <c r="A49" s="2" t="s">
        <v>3544</v>
      </c>
      <c r="B49" s="12" t="s">
        <v>3547</v>
      </c>
      <c r="C49" s="31" t="s">
        <v>3479</v>
      </c>
      <c r="D49" s="8"/>
      <c r="E49" s="44"/>
      <c r="F49" s="43"/>
      <c r="G49" s="23" t="s">
        <v>3984</v>
      </c>
      <c r="H49" s="8"/>
      <c r="I49" s="43">
        <f>AVERAGE(F50)</f>
        <v>0</v>
      </c>
      <c r="J49" s="44"/>
      <c r="K49" s="44"/>
      <c r="L49" s="8"/>
    </row>
    <row r="50" spans="1:12">
      <c r="A50" s="1" t="s">
        <v>3545</v>
      </c>
      <c r="B50" s="7">
        <v>30.82</v>
      </c>
      <c r="C50" s="7">
        <v>35.47</v>
      </c>
      <c r="D50" s="16">
        <f>(C50-B50)/B50</f>
        <v>0.15087605451005837</v>
      </c>
      <c r="E50" s="9">
        <v>35.47</v>
      </c>
      <c r="F50" s="16">
        <f>(C50-E50)/E50</f>
        <v>0</v>
      </c>
      <c r="G50" s="40"/>
      <c r="J50" s="9"/>
      <c r="K50" s="9"/>
    </row>
    <row r="51" spans="1:12">
      <c r="A51" s="1"/>
      <c r="B51" s="7"/>
      <c r="C51" s="7"/>
      <c r="E51" s="9"/>
      <c r="F51" s="16"/>
      <c r="G51" s="40"/>
      <c r="J51" s="9"/>
      <c r="K51" s="9"/>
    </row>
    <row r="52" spans="1:12" ht="51">
      <c r="A52" s="2" t="s">
        <v>3546</v>
      </c>
      <c r="B52" s="12" t="s">
        <v>3946</v>
      </c>
      <c r="C52" s="12" t="s">
        <v>3946</v>
      </c>
      <c r="D52" s="8"/>
      <c r="E52" s="44"/>
      <c r="F52" s="43"/>
      <c r="G52" s="23"/>
      <c r="H52" s="8"/>
      <c r="I52" s="8"/>
      <c r="J52" s="44"/>
      <c r="K52" s="44"/>
      <c r="L52" s="8"/>
    </row>
    <row r="53" spans="1:12">
      <c r="A53" s="1" t="s">
        <v>3548</v>
      </c>
      <c r="B53" s="7">
        <v>27.95</v>
      </c>
      <c r="C53" s="7">
        <v>27.95</v>
      </c>
      <c r="D53" s="16">
        <f>(C53-B53)/B53</f>
        <v>0</v>
      </c>
      <c r="E53" s="9"/>
      <c r="F53" s="16"/>
      <c r="G53" s="40"/>
      <c r="J53" s="9"/>
      <c r="K53" s="9"/>
    </row>
    <row r="54" spans="1:12">
      <c r="A54" s="1"/>
      <c r="B54" s="7"/>
      <c r="C54" s="7"/>
      <c r="E54" s="9"/>
      <c r="F54" s="16"/>
      <c r="G54" s="40"/>
      <c r="J54" s="9"/>
      <c r="K54" s="9"/>
    </row>
    <row r="55" spans="1:12">
      <c r="A55" s="2" t="s">
        <v>3549</v>
      </c>
      <c r="B55" s="7"/>
      <c r="C55" s="31" t="s">
        <v>3479</v>
      </c>
      <c r="D55" s="8"/>
      <c r="E55" s="44"/>
      <c r="F55" s="43"/>
      <c r="G55" s="23" t="s">
        <v>3983</v>
      </c>
      <c r="H55" s="43">
        <f>AVERAGE(F56:F57)</f>
        <v>3.6491324703938281E-2</v>
      </c>
      <c r="I55" s="8"/>
      <c r="J55" s="44"/>
      <c r="K55" s="44"/>
      <c r="L55" s="8"/>
    </row>
    <row r="56" spans="1:12">
      <c r="A56" s="1" t="s">
        <v>3550</v>
      </c>
      <c r="B56" s="7">
        <v>36.26</v>
      </c>
      <c r="C56" s="7">
        <v>36.340000000000003</v>
      </c>
      <c r="D56" s="16">
        <f>(C56-B56)/B56</f>
        <v>2.2062879205737838E-3</v>
      </c>
      <c r="E56" s="9">
        <v>36.31</v>
      </c>
      <c r="F56" s="16">
        <f>(C56-E56)/E56</f>
        <v>8.2621867254203073E-4</v>
      </c>
      <c r="G56" s="40"/>
      <c r="J56" s="9"/>
      <c r="K56" s="9"/>
    </row>
    <row r="57" spans="1:12">
      <c r="A57" s="1" t="s">
        <v>3551</v>
      </c>
      <c r="B57" s="7">
        <v>38.9</v>
      </c>
      <c r="C57" s="7">
        <v>38.93</v>
      </c>
      <c r="D57" s="16">
        <f>(C57-B57)/B57</f>
        <v>7.7120822622110891E-4</v>
      </c>
      <c r="E57" s="9">
        <v>36.31</v>
      </c>
      <c r="F57" s="16">
        <f>(C57-E57)/E57</f>
        <v>7.2156430735334537E-2</v>
      </c>
      <c r="G57" s="40"/>
      <c r="J57" s="9"/>
      <c r="K57" s="9"/>
    </row>
    <row r="58" spans="1:12">
      <c r="A58" s="1"/>
      <c r="B58" s="7"/>
      <c r="C58" s="7"/>
      <c r="E58" s="9"/>
      <c r="F58" s="16"/>
      <c r="G58" s="40"/>
      <c r="J58" s="9"/>
      <c r="K58" s="9"/>
    </row>
    <row r="59" spans="1:12">
      <c r="A59" s="2" t="s">
        <v>3552</v>
      </c>
      <c r="B59" s="11" t="s">
        <v>3534</v>
      </c>
      <c r="C59" s="11" t="s">
        <v>3534</v>
      </c>
      <c r="D59" s="8"/>
      <c r="E59" s="44"/>
      <c r="F59" s="43"/>
      <c r="G59" s="23" t="s">
        <v>3984</v>
      </c>
      <c r="H59" s="8"/>
      <c r="I59" s="43">
        <f>AVERAGE(F60)</f>
        <v>0</v>
      </c>
      <c r="J59" s="44"/>
      <c r="K59" s="44"/>
      <c r="L59" s="8"/>
    </row>
    <row r="60" spans="1:12">
      <c r="A60" s="1" t="s">
        <v>3553</v>
      </c>
      <c r="B60" s="7">
        <v>21.5</v>
      </c>
      <c r="C60" s="7">
        <v>20.5</v>
      </c>
      <c r="D60" s="16">
        <f>(C60-B60)/B60</f>
        <v>-4.6511627906976744E-2</v>
      </c>
      <c r="E60" s="9">
        <v>20.5</v>
      </c>
      <c r="F60" s="16">
        <f>(C60-E60)/E60</f>
        <v>0</v>
      </c>
      <c r="G60" s="40"/>
      <c r="J60" s="9"/>
      <c r="K60" s="9"/>
    </row>
    <row r="61" spans="1:12">
      <c r="A61" s="1"/>
      <c r="B61" s="7"/>
      <c r="C61" s="7"/>
      <c r="E61" s="9"/>
      <c r="F61" s="16"/>
      <c r="G61" s="40"/>
      <c r="J61" s="9"/>
      <c r="K61" s="9"/>
    </row>
    <row r="62" spans="1:12" ht="51">
      <c r="A62" s="2" t="s">
        <v>3554</v>
      </c>
      <c r="B62" s="12" t="s">
        <v>3547</v>
      </c>
      <c r="C62" s="12" t="s">
        <v>3547</v>
      </c>
      <c r="D62" s="8"/>
      <c r="E62" s="44"/>
      <c r="F62" s="43"/>
      <c r="G62" s="23" t="s">
        <v>3983</v>
      </c>
      <c r="H62" s="43">
        <f>AVERAGE(F63:F64)</f>
        <v>0</v>
      </c>
      <c r="I62" s="8"/>
      <c r="J62" s="44"/>
      <c r="K62" s="44"/>
      <c r="L62" s="8"/>
    </row>
    <row r="63" spans="1:12">
      <c r="A63" s="1" t="s">
        <v>3555</v>
      </c>
      <c r="B63" s="7">
        <v>33.57</v>
      </c>
      <c r="C63" s="7">
        <v>33.57</v>
      </c>
      <c r="D63" s="16">
        <f>(C63-B63)/B63</f>
        <v>0</v>
      </c>
      <c r="E63" s="9">
        <v>33.57</v>
      </c>
      <c r="F63" s="16">
        <f>(C63-E63)/E63</f>
        <v>0</v>
      </c>
      <c r="G63" s="40"/>
      <c r="J63" s="9"/>
      <c r="K63" s="9"/>
    </row>
    <row r="64" spans="1:12">
      <c r="A64" s="143"/>
      <c r="B64" s="143"/>
      <c r="C64" s="7"/>
      <c r="E64" s="9"/>
      <c r="F64" s="16"/>
      <c r="G64" s="40"/>
      <c r="J64" s="9"/>
      <c r="K64" s="9"/>
    </row>
    <row r="65" spans="1:12" ht="38.25">
      <c r="A65" s="2" t="s">
        <v>3556</v>
      </c>
      <c r="B65" s="12" t="s">
        <v>3510</v>
      </c>
      <c r="C65" s="12" t="s">
        <v>3510</v>
      </c>
      <c r="D65" s="8"/>
      <c r="E65" s="44"/>
      <c r="F65" s="43"/>
      <c r="G65" s="23" t="s">
        <v>3983</v>
      </c>
      <c r="H65" s="43">
        <f>AVERAGE(F66:F67)</f>
        <v>8.3056478405315604E-3</v>
      </c>
      <c r="I65" s="8"/>
      <c r="J65" s="44"/>
      <c r="K65" s="44"/>
      <c r="L65" s="8"/>
    </row>
    <row r="66" spans="1:12">
      <c r="A66" s="1" t="s">
        <v>3557</v>
      </c>
      <c r="B66" s="7">
        <v>30.1</v>
      </c>
      <c r="C66" s="7">
        <v>30.1</v>
      </c>
      <c r="D66" s="16">
        <f>(C66-B66)/B66</f>
        <v>0</v>
      </c>
      <c r="E66" s="9">
        <v>30.1</v>
      </c>
      <c r="F66" s="16">
        <f>(C66-E66)/E66</f>
        <v>0</v>
      </c>
      <c r="G66" s="40"/>
      <c r="J66" s="9"/>
      <c r="K66" s="9"/>
    </row>
    <row r="67" spans="1:12">
      <c r="A67" s="1" t="s">
        <v>3683</v>
      </c>
      <c r="B67" s="7">
        <v>30.6</v>
      </c>
      <c r="C67" s="7">
        <v>30.6</v>
      </c>
      <c r="D67" s="16">
        <f>(C67-B67)/B67</f>
        <v>0</v>
      </c>
      <c r="E67" s="9">
        <v>30.1</v>
      </c>
      <c r="F67" s="16">
        <f>(C67-E67)/E67</f>
        <v>1.6611295681063121E-2</v>
      </c>
      <c r="G67" s="40"/>
      <c r="J67" s="9"/>
      <c r="K67" s="9"/>
    </row>
    <row r="68" spans="1:12">
      <c r="A68" s="143"/>
      <c r="B68" s="143"/>
      <c r="C68" s="7"/>
      <c r="E68" s="9"/>
      <c r="F68" s="16"/>
      <c r="G68" s="40"/>
      <c r="J68" s="9"/>
      <c r="K68" s="9"/>
      <c r="L68" s="16"/>
    </row>
    <row r="69" spans="1:12" ht="38.25">
      <c r="A69" s="2" t="s">
        <v>3775</v>
      </c>
      <c r="B69" s="12" t="s">
        <v>3510</v>
      </c>
      <c r="C69" s="55" t="s">
        <v>3480</v>
      </c>
      <c r="D69" s="8"/>
      <c r="E69" s="44"/>
      <c r="F69" s="43"/>
      <c r="G69" s="23" t="s">
        <v>3983</v>
      </c>
      <c r="H69" s="43">
        <f>AVERAGE(F70:F72)</f>
        <v>3.9035477814013279E-2</v>
      </c>
      <c r="I69" s="8"/>
      <c r="J69" s="44"/>
      <c r="K69" s="44"/>
      <c r="L69" s="43"/>
    </row>
    <row r="70" spans="1:12">
      <c r="A70" s="1" t="s">
        <v>3560</v>
      </c>
      <c r="B70" s="7">
        <v>33.76</v>
      </c>
      <c r="C70" s="7">
        <v>34.26</v>
      </c>
      <c r="D70" s="16">
        <f>(C70-B70)/B70</f>
        <v>1.481042654028436E-2</v>
      </c>
      <c r="E70" s="9">
        <v>33.729999999999997</v>
      </c>
      <c r="F70" s="16">
        <f>(C70-E70)/E70</f>
        <v>1.5713015120071189E-2</v>
      </c>
      <c r="G70" s="40"/>
      <c r="J70" s="9"/>
      <c r="K70" s="9"/>
      <c r="L70" s="16"/>
    </row>
    <row r="71" spans="1:12">
      <c r="A71" s="1" t="s">
        <v>3909</v>
      </c>
      <c r="B71" s="7">
        <v>34.76</v>
      </c>
      <c r="C71" s="7">
        <v>35.26</v>
      </c>
      <c r="D71" s="16">
        <f>(C71-B71)/B71</f>
        <v>1.4384349827387804E-2</v>
      </c>
      <c r="E71" s="9">
        <v>33.729999999999997</v>
      </c>
      <c r="F71" s="16">
        <f>(C71-E71)/E71</f>
        <v>4.5360213459828082E-2</v>
      </c>
      <c r="G71" s="40"/>
      <c r="J71" s="9"/>
      <c r="K71" s="9"/>
      <c r="L71" s="16"/>
    </row>
    <row r="72" spans="1:12">
      <c r="A72" s="1" t="s">
        <v>3562</v>
      </c>
      <c r="B72" s="7">
        <v>35.119999999999997</v>
      </c>
      <c r="C72" s="7">
        <v>35.619999999999997</v>
      </c>
      <c r="D72" s="16">
        <f>(C72-B72)/B72</f>
        <v>1.4236902050113897E-2</v>
      </c>
      <c r="E72" s="9">
        <v>33.729999999999997</v>
      </c>
      <c r="F72" s="16">
        <f>(C72-E72)/E72</f>
        <v>5.603320486214055E-2</v>
      </c>
      <c r="G72" s="40"/>
      <c r="J72" s="9"/>
      <c r="K72" s="9"/>
      <c r="L72" s="16"/>
    </row>
    <row r="73" spans="1:12">
      <c r="A73" s="1"/>
      <c r="B73" s="7"/>
      <c r="C73" s="7"/>
      <c r="E73" s="9"/>
      <c r="F73" s="16"/>
      <c r="G73" s="40"/>
      <c r="J73" s="9"/>
      <c r="K73" s="9"/>
      <c r="L73" s="16"/>
    </row>
    <row r="74" spans="1:12" ht="38.25">
      <c r="A74" s="2" t="s">
        <v>3563</v>
      </c>
      <c r="B74" s="12" t="s">
        <v>3924</v>
      </c>
      <c r="C74" s="31"/>
      <c r="D74" s="8"/>
      <c r="E74" s="44"/>
      <c r="F74" s="43"/>
      <c r="G74" s="23" t="s">
        <v>3983</v>
      </c>
      <c r="H74" s="43">
        <f>AVERAGE(F75:F77)</f>
        <v>4.7984644913627604E-2</v>
      </c>
      <c r="I74" s="8"/>
      <c r="J74" s="44"/>
      <c r="K74" s="44"/>
      <c r="L74" s="43"/>
    </row>
    <row r="75" spans="1:12">
      <c r="A75" s="1" t="s">
        <v>3565</v>
      </c>
      <c r="B75" s="7">
        <v>54.38</v>
      </c>
      <c r="C75" s="7">
        <v>56.74</v>
      </c>
      <c r="D75" s="16">
        <f>(C75-B75)/B75</f>
        <v>4.3398308201544673E-2</v>
      </c>
      <c r="E75" s="9">
        <v>57.31</v>
      </c>
      <c r="F75" s="16">
        <f>(C75-E75)/E75</f>
        <v>-9.9459082184610061E-3</v>
      </c>
      <c r="G75" s="40"/>
      <c r="J75" s="9"/>
      <c r="K75" s="9"/>
      <c r="L75" s="16"/>
    </row>
    <row r="76" spans="1:12">
      <c r="A76" s="1" t="s">
        <v>3566</v>
      </c>
      <c r="B76" s="7">
        <v>57.68</v>
      </c>
      <c r="C76" s="7">
        <v>60.04</v>
      </c>
      <c r="D76" s="16">
        <f>(C76-B76)/B76</f>
        <v>4.0915395284327312E-2</v>
      </c>
      <c r="E76" s="9">
        <v>57.31</v>
      </c>
      <c r="F76" s="16">
        <f>(C76-E76)/E76</f>
        <v>4.7635665677892111E-2</v>
      </c>
      <c r="G76" s="40"/>
      <c r="J76" s="9"/>
      <c r="K76" s="9"/>
      <c r="L76" s="16"/>
    </row>
    <row r="77" spans="1:12">
      <c r="A77" s="1" t="s">
        <v>3567</v>
      </c>
      <c r="B77" s="7">
        <v>61.04</v>
      </c>
      <c r="C77" s="7">
        <v>63.4</v>
      </c>
      <c r="D77" s="16">
        <f>(C77-B77)/B77</f>
        <v>3.8663171690694616E-2</v>
      </c>
      <c r="E77" s="9">
        <v>57.31</v>
      </c>
      <c r="F77" s="16">
        <f>(C77-E77)/E77</f>
        <v>0.10626417728145168</v>
      </c>
      <c r="G77" s="40"/>
      <c r="J77" s="9"/>
      <c r="K77" s="9"/>
      <c r="L77" s="16"/>
    </row>
    <row r="78" spans="1:12">
      <c r="A78" s="143"/>
      <c r="B78" s="143"/>
      <c r="C78" s="7"/>
      <c r="E78" s="9"/>
      <c r="F78" s="16"/>
      <c r="G78" s="40"/>
      <c r="J78" s="9"/>
      <c r="K78" s="9"/>
      <c r="L78" s="16"/>
    </row>
    <row r="79" spans="1:12" ht="51">
      <c r="A79" s="2" t="s">
        <v>3947</v>
      </c>
      <c r="B79" s="12" t="s">
        <v>3547</v>
      </c>
      <c r="C79" s="12" t="s">
        <v>3547</v>
      </c>
      <c r="D79" s="8"/>
      <c r="E79" s="44"/>
      <c r="F79" s="43"/>
      <c r="G79" s="23" t="s">
        <v>3983</v>
      </c>
      <c r="H79" s="43">
        <f>AVERAGE(F80)</f>
        <v>-0.14409606404269515</v>
      </c>
      <c r="I79" s="8"/>
      <c r="J79" s="44"/>
      <c r="K79" s="44"/>
      <c r="L79" s="43"/>
    </row>
    <row r="80" spans="1:12">
      <c r="A80" s="1" t="s">
        <v>3948</v>
      </c>
      <c r="B80" s="7">
        <v>30.82</v>
      </c>
      <c r="C80" s="7">
        <v>25.66</v>
      </c>
      <c r="D80" s="16">
        <f>(C80-B80)/B80</f>
        <v>-0.16742375081116159</v>
      </c>
      <c r="E80" s="9">
        <v>29.98</v>
      </c>
      <c r="F80" s="16">
        <f>(C80-E80)/E80</f>
        <v>-0.14409606404269515</v>
      </c>
      <c r="G80" s="40"/>
      <c r="J80" s="9">
        <v>19.36</v>
      </c>
      <c r="K80" s="9">
        <f>J80*1.4</f>
        <v>27.103999999999999</v>
      </c>
      <c r="L80" s="16">
        <f>(C80-K80)/K80</f>
        <v>-5.3276269185360062E-2</v>
      </c>
    </row>
    <row r="81" spans="1:12">
      <c r="A81" s="143"/>
      <c r="B81" s="143"/>
      <c r="C81" s="7"/>
      <c r="E81" s="9"/>
      <c r="F81" s="16"/>
      <c r="G81" s="40"/>
      <c r="J81" s="9"/>
      <c r="K81" s="9"/>
      <c r="L81" s="16"/>
    </row>
    <row r="82" spans="1:12" ht="38.25">
      <c r="A82" s="2" t="s">
        <v>3585</v>
      </c>
      <c r="B82" s="12" t="s">
        <v>3689</v>
      </c>
      <c r="C82" s="31" t="s">
        <v>3981</v>
      </c>
      <c r="D82" s="8"/>
      <c r="E82" s="44"/>
      <c r="F82" s="43"/>
      <c r="G82" s="23" t="s">
        <v>3983</v>
      </c>
      <c r="H82" s="43">
        <f>AVERAGE(F83:F85)</f>
        <v>2.7098798961916932E-2</v>
      </c>
      <c r="I82" s="8"/>
      <c r="J82" s="44"/>
      <c r="K82" s="44"/>
      <c r="L82" s="43"/>
    </row>
    <row r="83" spans="1:12">
      <c r="A83" s="1" t="s">
        <v>3587</v>
      </c>
      <c r="B83" s="7">
        <v>57.06</v>
      </c>
      <c r="C83" s="7">
        <v>54.56</v>
      </c>
      <c r="D83" s="16">
        <f>(C83-B83)/B83</f>
        <v>-4.3813529617946018E-2</v>
      </c>
      <c r="E83" s="9">
        <v>55.23</v>
      </c>
      <c r="F83" s="16">
        <f>(C83-E83)/E83</f>
        <v>-1.2131088176715456E-2</v>
      </c>
      <c r="G83" s="40"/>
      <c r="J83" s="9"/>
      <c r="K83" s="9"/>
      <c r="L83" s="16"/>
    </row>
    <row r="84" spans="1:12">
      <c r="A84" s="1" t="s">
        <v>3588</v>
      </c>
      <c r="B84" s="7">
        <v>59.56</v>
      </c>
      <c r="C84" s="7">
        <v>57.06</v>
      </c>
      <c r="D84" s="16">
        <f>(C84-B84)/B84</f>
        <v>-4.1974479516453993E-2</v>
      </c>
      <c r="E84" s="9">
        <v>55.23</v>
      </c>
      <c r="F84" s="16">
        <f>(C84-E84)/E84</f>
        <v>3.3134166214014223E-2</v>
      </c>
      <c r="G84" s="40"/>
      <c r="J84" s="9"/>
      <c r="K84" s="9"/>
      <c r="L84" s="16"/>
    </row>
    <row r="85" spans="1:12" ht="25.5">
      <c r="A85" s="1" t="s">
        <v>3589</v>
      </c>
      <c r="B85" s="7">
        <v>61.06</v>
      </c>
      <c r="C85" s="7">
        <v>58.56</v>
      </c>
      <c r="D85" s="16">
        <f>(C85-B85)/B85</f>
        <v>-4.0943334425155582E-2</v>
      </c>
      <c r="E85" s="9">
        <v>55.23</v>
      </c>
      <c r="F85" s="16">
        <f>(C85-E85)/E85</f>
        <v>6.0293318848452029E-2</v>
      </c>
      <c r="G85" s="40"/>
      <c r="J85" s="9"/>
      <c r="K85" s="9"/>
      <c r="L85" s="16"/>
    </row>
    <row r="86" spans="1:12">
      <c r="A86" s="143"/>
      <c r="B86" s="143"/>
      <c r="C86" s="7"/>
      <c r="E86" s="9"/>
      <c r="F86" s="16"/>
      <c r="G86" s="40"/>
      <c r="J86" s="9"/>
      <c r="K86" s="9"/>
      <c r="L86" s="16"/>
    </row>
    <row r="87" spans="1:12" ht="25.5">
      <c r="A87" s="2" t="s">
        <v>3590</v>
      </c>
      <c r="B87" s="7"/>
      <c r="C87" s="31" t="s">
        <v>3486</v>
      </c>
      <c r="D87" s="8"/>
      <c r="E87" s="44"/>
      <c r="F87" s="43"/>
      <c r="G87" s="23" t="s">
        <v>3984</v>
      </c>
      <c r="H87" s="8"/>
      <c r="I87" s="43">
        <f>AVERAGE(F88:F91)</f>
        <v>0</v>
      </c>
      <c r="J87" s="44"/>
      <c r="K87" s="44"/>
      <c r="L87" s="43"/>
    </row>
    <row r="88" spans="1:12">
      <c r="A88" s="1" t="s">
        <v>3786</v>
      </c>
      <c r="B88" s="7">
        <v>49.7</v>
      </c>
      <c r="C88" s="7">
        <v>31.51</v>
      </c>
      <c r="D88" s="16">
        <f>(C88-B88)/B88</f>
        <v>-0.36599597585513077</v>
      </c>
      <c r="E88" s="9">
        <v>31.51</v>
      </c>
      <c r="F88" s="16">
        <f>(C88-E88)/E88</f>
        <v>0</v>
      </c>
      <c r="G88" s="40"/>
      <c r="J88" s="9"/>
      <c r="K88" s="9"/>
      <c r="L88" s="16"/>
    </row>
    <row r="89" spans="1:12">
      <c r="A89" s="1" t="s">
        <v>3787</v>
      </c>
      <c r="B89" s="7">
        <v>50.7</v>
      </c>
      <c r="C89" s="7">
        <v>31.51</v>
      </c>
      <c r="D89" s="16">
        <f>(C89-B89)/B89</f>
        <v>-0.37850098619329386</v>
      </c>
      <c r="E89" s="9">
        <v>31.51</v>
      </c>
      <c r="F89" s="16">
        <f>(C89-E89)/E89</f>
        <v>0</v>
      </c>
      <c r="G89" s="40"/>
      <c r="J89" s="9"/>
      <c r="K89" s="9"/>
      <c r="L89" s="16"/>
    </row>
    <row r="90" spans="1:12">
      <c r="A90" s="1" t="s">
        <v>3788</v>
      </c>
      <c r="B90" s="7">
        <v>53.01</v>
      </c>
      <c r="C90" s="7">
        <v>31.51</v>
      </c>
      <c r="D90" s="16">
        <f>(C90-B90)/B90</f>
        <v>-0.40558385210337666</v>
      </c>
      <c r="E90" s="9">
        <v>31.51</v>
      </c>
      <c r="F90" s="16">
        <f>(C90-E90)/E90</f>
        <v>0</v>
      </c>
      <c r="G90" s="40"/>
      <c r="J90" s="9"/>
      <c r="K90" s="9"/>
      <c r="L90" s="16"/>
    </row>
    <row r="91" spans="1:12">
      <c r="A91" s="1" t="s">
        <v>3789</v>
      </c>
      <c r="B91" s="7">
        <v>56.65</v>
      </c>
      <c r="C91" s="7">
        <v>31.51</v>
      </c>
      <c r="D91" s="16">
        <f>(C91-B91)/B91</f>
        <v>-0.44377758164165926</v>
      </c>
      <c r="E91" s="9">
        <v>31.51</v>
      </c>
      <c r="F91" s="16">
        <f>(C91-E91)/E91</f>
        <v>0</v>
      </c>
      <c r="G91" s="40"/>
      <c r="J91" s="9"/>
      <c r="K91" s="9"/>
      <c r="L91" s="16"/>
    </row>
    <row r="92" spans="1:12">
      <c r="A92" s="143"/>
      <c r="B92" s="143"/>
      <c r="C92" s="7"/>
      <c r="E92" s="9"/>
      <c r="F92" s="16"/>
      <c r="G92" s="40"/>
      <c r="J92" s="9"/>
      <c r="K92" s="9"/>
      <c r="L92" s="16"/>
    </row>
    <row r="93" spans="1:12" ht="25.5" customHeight="1">
      <c r="A93" s="2" t="s">
        <v>3592</v>
      </c>
      <c r="B93" s="147" t="s">
        <v>3912</v>
      </c>
      <c r="C93" s="147" t="s">
        <v>3912</v>
      </c>
      <c r="D93" s="8"/>
      <c r="E93" s="44"/>
      <c r="F93" s="43"/>
      <c r="G93" s="23" t="s">
        <v>3983</v>
      </c>
      <c r="H93" s="43">
        <f>AVERAGE(F95:F146)</f>
        <v>8.8751982432597215E-2</v>
      </c>
      <c r="I93" s="8"/>
      <c r="J93" s="44"/>
      <c r="K93" s="44"/>
      <c r="L93" s="43"/>
    </row>
    <row r="94" spans="1:12">
      <c r="A94" s="3" t="s">
        <v>3569</v>
      </c>
      <c r="B94" s="147"/>
      <c r="C94" s="147"/>
      <c r="E94" s="9"/>
      <c r="F94" s="16"/>
      <c r="G94" s="40"/>
      <c r="J94" s="9"/>
      <c r="K94" s="9"/>
      <c r="L94" s="16"/>
    </row>
    <row r="95" spans="1:12">
      <c r="A95" s="1" t="s">
        <v>3573</v>
      </c>
      <c r="B95" s="7">
        <v>41.33</v>
      </c>
      <c r="C95" s="7">
        <v>43.08</v>
      </c>
      <c r="D95" s="16">
        <f t="shared" ref="D95:D110" si="0">(C95-B95)/B95</f>
        <v>4.2342124364868138E-2</v>
      </c>
      <c r="E95" s="9">
        <v>46.84</v>
      </c>
      <c r="F95" s="16">
        <f t="shared" ref="F95:F110" si="1">(C95-E95)/E95</f>
        <v>-8.0273270708796002E-2</v>
      </c>
      <c r="G95" s="40"/>
      <c r="J95" s="9"/>
      <c r="K95" s="9"/>
      <c r="L95" s="16"/>
    </row>
    <row r="96" spans="1:12">
      <c r="A96" s="1" t="s">
        <v>3574</v>
      </c>
      <c r="B96" s="7">
        <v>44.09</v>
      </c>
      <c r="C96" s="7">
        <v>45.84</v>
      </c>
      <c r="D96" s="16">
        <f t="shared" si="0"/>
        <v>3.9691540031753229E-2</v>
      </c>
      <c r="E96" s="9">
        <v>46.84</v>
      </c>
      <c r="F96" s="16">
        <f t="shared" si="1"/>
        <v>-2.1349274124679761E-2</v>
      </c>
      <c r="G96" s="40"/>
      <c r="J96" s="9"/>
      <c r="K96" s="9"/>
      <c r="L96" s="16"/>
    </row>
    <row r="97" spans="1:12">
      <c r="A97" s="1" t="s">
        <v>3575</v>
      </c>
      <c r="B97" s="7">
        <v>44.62</v>
      </c>
      <c r="C97" s="7">
        <v>46.37</v>
      </c>
      <c r="D97" s="16">
        <f t="shared" si="0"/>
        <v>3.9220080681308833E-2</v>
      </c>
      <c r="E97" s="9">
        <v>46.84</v>
      </c>
      <c r="F97" s="16">
        <f t="shared" si="1"/>
        <v>-1.0034158838599615E-2</v>
      </c>
      <c r="G97" s="40"/>
      <c r="J97" s="9"/>
      <c r="K97" s="9"/>
      <c r="L97" s="16"/>
    </row>
    <row r="98" spans="1:12">
      <c r="A98" s="1" t="s">
        <v>3576</v>
      </c>
      <c r="B98" s="7">
        <v>44.89</v>
      </c>
      <c r="C98" s="7">
        <v>46.64</v>
      </c>
      <c r="D98" s="16">
        <f t="shared" si="0"/>
        <v>3.8984183559812875E-2</v>
      </c>
      <c r="E98" s="9">
        <v>46.84</v>
      </c>
      <c r="F98" s="16">
        <f t="shared" si="1"/>
        <v>-4.2698548249360127E-3</v>
      </c>
      <c r="G98" s="40"/>
      <c r="J98" s="9"/>
      <c r="K98" s="9"/>
      <c r="L98" s="16"/>
    </row>
    <row r="99" spans="1:12">
      <c r="A99" s="1" t="s">
        <v>3577</v>
      </c>
      <c r="B99" s="7">
        <v>45.63</v>
      </c>
      <c r="C99" s="7">
        <v>47.38</v>
      </c>
      <c r="D99" s="16">
        <f t="shared" si="0"/>
        <v>3.8351961428884501E-2</v>
      </c>
      <c r="E99" s="9">
        <v>46.84</v>
      </c>
      <c r="F99" s="16">
        <f t="shared" si="1"/>
        <v>1.1528608027327051E-2</v>
      </c>
      <c r="G99" s="40"/>
      <c r="J99" s="9"/>
      <c r="K99" s="9"/>
      <c r="L99" s="16"/>
    </row>
    <row r="100" spans="1:12">
      <c r="A100" s="1" t="s">
        <v>3579</v>
      </c>
      <c r="B100" s="7">
        <v>45.93</v>
      </c>
      <c r="C100" s="7">
        <v>47.68</v>
      </c>
      <c r="D100" s="16">
        <f t="shared" si="0"/>
        <v>3.8101458741563246E-2</v>
      </c>
      <c r="E100" s="9">
        <v>46.84</v>
      </c>
      <c r="F100" s="16">
        <f t="shared" si="1"/>
        <v>1.7933390264730918E-2</v>
      </c>
      <c r="G100" s="40"/>
      <c r="J100" s="9"/>
      <c r="K100" s="9"/>
      <c r="L100" s="16"/>
    </row>
    <row r="101" spans="1:12">
      <c r="A101" s="1" t="s">
        <v>3580</v>
      </c>
      <c r="B101" s="7">
        <v>46.1</v>
      </c>
      <c r="C101" s="7">
        <v>47.85</v>
      </c>
      <c r="D101" s="16">
        <f t="shared" si="0"/>
        <v>3.7960954446854663E-2</v>
      </c>
      <c r="E101" s="9">
        <v>46.84</v>
      </c>
      <c r="F101" s="16">
        <f t="shared" si="1"/>
        <v>2.1562766865926515E-2</v>
      </c>
      <c r="G101" s="40"/>
      <c r="J101" s="9"/>
      <c r="K101" s="9"/>
      <c r="L101" s="16"/>
    </row>
    <row r="102" spans="1:12">
      <c r="A102" s="1" t="s">
        <v>3593</v>
      </c>
      <c r="B102" s="7">
        <v>46.35</v>
      </c>
      <c r="C102" s="7">
        <v>48.1</v>
      </c>
      <c r="D102" s="16">
        <f t="shared" si="0"/>
        <v>3.7756202804746494E-2</v>
      </c>
      <c r="E102" s="9">
        <v>46.84</v>
      </c>
      <c r="F102" s="16">
        <f t="shared" si="1"/>
        <v>2.6900085397096454E-2</v>
      </c>
      <c r="G102" s="40"/>
      <c r="J102" s="9"/>
      <c r="K102" s="9"/>
      <c r="L102" s="16"/>
    </row>
    <row r="103" spans="1:12">
      <c r="A103" s="1" t="s">
        <v>3594</v>
      </c>
      <c r="B103" s="7">
        <v>46.94</v>
      </c>
      <c r="C103" s="7">
        <v>48.69</v>
      </c>
      <c r="D103" s="16">
        <f t="shared" si="0"/>
        <v>3.7281636131231359E-2</v>
      </c>
      <c r="E103" s="9">
        <v>46.84</v>
      </c>
      <c r="F103" s="16">
        <f t="shared" si="1"/>
        <v>3.9496157130657433E-2</v>
      </c>
      <c r="G103" s="40"/>
      <c r="J103" s="9"/>
      <c r="K103" s="9"/>
      <c r="L103" s="16"/>
    </row>
    <row r="104" spans="1:12">
      <c r="A104" s="1" t="s">
        <v>3595</v>
      </c>
      <c r="B104" s="7">
        <v>47.26</v>
      </c>
      <c r="C104" s="7">
        <v>49.01</v>
      </c>
      <c r="D104" s="16">
        <f t="shared" si="0"/>
        <v>3.7029200169276348E-2</v>
      </c>
      <c r="E104" s="9">
        <v>46.84</v>
      </c>
      <c r="F104" s="16">
        <f t="shared" si="1"/>
        <v>4.6327924850554959E-2</v>
      </c>
      <c r="G104" s="40"/>
      <c r="J104" s="9"/>
      <c r="K104" s="9"/>
      <c r="L104" s="16"/>
    </row>
    <row r="105" spans="1:12">
      <c r="A105" s="1" t="s">
        <v>3596</v>
      </c>
      <c r="B105" s="7">
        <v>47.61</v>
      </c>
      <c r="C105" s="7">
        <v>49.36</v>
      </c>
      <c r="D105" s="16">
        <f t="shared" si="0"/>
        <v>3.6756983826927117E-2</v>
      </c>
      <c r="E105" s="9">
        <v>46.84</v>
      </c>
      <c r="F105" s="16">
        <f t="shared" si="1"/>
        <v>5.3800170794192907E-2</v>
      </c>
      <c r="G105" s="40"/>
      <c r="J105" s="9"/>
      <c r="K105" s="9"/>
      <c r="L105" s="16"/>
    </row>
    <row r="106" spans="1:12">
      <c r="A106" s="1" t="s">
        <v>3597</v>
      </c>
      <c r="B106" s="7">
        <v>47.8</v>
      </c>
      <c r="C106" s="7">
        <v>49.55</v>
      </c>
      <c r="D106" s="16">
        <f t="shared" si="0"/>
        <v>3.6610878661087871E-2</v>
      </c>
      <c r="E106" s="9">
        <v>46.84</v>
      </c>
      <c r="F106" s="16">
        <f t="shared" si="1"/>
        <v>5.7856532877882012E-2</v>
      </c>
      <c r="G106" s="40"/>
      <c r="J106" s="9"/>
      <c r="K106" s="9"/>
      <c r="L106" s="16"/>
    </row>
    <row r="107" spans="1:12">
      <c r="A107" s="1" t="s">
        <v>3598</v>
      </c>
      <c r="B107" s="7">
        <v>48.04</v>
      </c>
      <c r="C107" s="7">
        <v>49.79</v>
      </c>
      <c r="D107" s="16">
        <f t="shared" si="0"/>
        <v>3.6427976686094925E-2</v>
      </c>
      <c r="E107" s="9">
        <v>46.84</v>
      </c>
      <c r="F107" s="16">
        <f t="shared" si="1"/>
        <v>6.29803586678052E-2</v>
      </c>
      <c r="G107" s="40"/>
      <c r="J107" s="9"/>
      <c r="K107" s="9"/>
      <c r="L107" s="16"/>
    </row>
    <row r="108" spans="1:12">
      <c r="A108" s="1" t="s">
        <v>3599</v>
      </c>
      <c r="B108" s="7">
        <v>49.68</v>
      </c>
      <c r="C108" s="7">
        <v>51.43</v>
      </c>
      <c r="D108" s="16">
        <f t="shared" si="0"/>
        <v>3.5225442834138483E-2</v>
      </c>
      <c r="E108" s="9">
        <v>46.84</v>
      </c>
      <c r="F108" s="16">
        <f t="shared" si="1"/>
        <v>9.799316823228002E-2</v>
      </c>
      <c r="G108" s="40"/>
      <c r="J108" s="9"/>
      <c r="K108" s="9"/>
      <c r="L108" s="16"/>
    </row>
    <row r="109" spans="1:12">
      <c r="A109" s="1" t="s">
        <v>3600</v>
      </c>
      <c r="B109" s="7">
        <v>50.49</v>
      </c>
      <c r="C109" s="7">
        <v>52.24</v>
      </c>
      <c r="D109" s="16">
        <f t="shared" si="0"/>
        <v>3.4660328777975834E-2</v>
      </c>
      <c r="E109" s="9">
        <v>46.84</v>
      </c>
      <c r="F109" s="16">
        <f t="shared" si="1"/>
        <v>0.11528608027327067</v>
      </c>
      <c r="G109" s="40"/>
      <c r="J109" s="9"/>
      <c r="K109" s="9"/>
      <c r="L109" s="16"/>
    </row>
    <row r="110" spans="1:12">
      <c r="A110" s="1" t="s">
        <v>3601</v>
      </c>
      <c r="B110" s="7">
        <v>49.68</v>
      </c>
      <c r="C110" s="7">
        <v>51.43</v>
      </c>
      <c r="D110" s="16">
        <f t="shared" si="0"/>
        <v>3.5225442834138483E-2</v>
      </c>
      <c r="E110" s="9">
        <v>46.84</v>
      </c>
      <c r="F110" s="16">
        <f t="shared" si="1"/>
        <v>9.799316823228002E-2</v>
      </c>
      <c r="G110" s="40"/>
      <c r="J110" s="9"/>
      <c r="K110" s="9"/>
      <c r="L110" s="16"/>
    </row>
    <row r="111" spans="1:12" ht="25.5">
      <c r="A111" s="1" t="s">
        <v>3602</v>
      </c>
      <c r="B111" s="11" t="s">
        <v>3534</v>
      </c>
      <c r="C111" s="11" t="s">
        <v>3534</v>
      </c>
      <c r="E111" s="9"/>
      <c r="F111" s="16"/>
      <c r="G111" s="40"/>
      <c r="J111" s="9"/>
      <c r="K111" s="9"/>
      <c r="L111" s="16"/>
    </row>
    <row r="112" spans="1:12" ht="25.5">
      <c r="A112" s="1" t="s">
        <v>3603</v>
      </c>
      <c r="B112" s="11" t="s">
        <v>3534</v>
      </c>
      <c r="C112" s="11" t="s">
        <v>3534</v>
      </c>
      <c r="E112" s="9"/>
      <c r="F112" s="16"/>
      <c r="G112" s="40"/>
      <c r="J112" s="9"/>
      <c r="K112" s="9"/>
      <c r="L112" s="16"/>
    </row>
    <row r="113" spans="1:12">
      <c r="A113" s="143"/>
      <c r="B113" s="143"/>
      <c r="C113" s="7"/>
      <c r="E113" s="9"/>
      <c r="F113" s="16"/>
      <c r="G113" s="40"/>
      <c r="J113" s="9"/>
      <c r="K113" s="9"/>
      <c r="L113" s="16"/>
    </row>
    <row r="114" spans="1:12" ht="25.5" customHeight="1">
      <c r="A114" s="2" t="s">
        <v>3691</v>
      </c>
      <c r="B114" s="147" t="s">
        <v>3510</v>
      </c>
      <c r="C114" s="147" t="s">
        <v>3510</v>
      </c>
      <c r="E114" s="9"/>
      <c r="F114" s="16"/>
      <c r="G114" s="40"/>
      <c r="J114" s="9"/>
      <c r="K114" s="9"/>
      <c r="L114" s="16"/>
    </row>
    <row r="115" spans="1:12">
      <c r="A115" s="3" t="s">
        <v>3569</v>
      </c>
      <c r="B115" s="147"/>
      <c r="C115" s="147"/>
      <c r="E115" s="9"/>
      <c r="F115" s="16"/>
      <c r="G115" s="40"/>
      <c r="J115" s="9"/>
      <c r="K115" s="9"/>
      <c r="L115" s="16"/>
    </row>
    <row r="116" spans="1:12">
      <c r="A116" s="1" t="s">
        <v>3573</v>
      </c>
      <c r="B116" s="7">
        <v>56.63</v>
      </c>
      <c r="C116" s="7">
        <v>58.38</v>
      </c>
      <c r="D116" s="16">
        <f t="shared" ref="D116:D127" si="2">(C116-B116)/B116</f>
        <v>3.0902348578491962E-2</v>
      </c>
      <c r="E116" s="9">
        <v>46.84</v>
      </c>
      <c r="F116" s="16">
        <f t="shared" ref="F116:F127" si="3">(C116-E116)/E116</f>
        <v>0.24637062339880442</v>
      </c>
      <c r="G116" s="40"/>
      <c r="J116" s="9"/>
      <c r="K116" s="9"/>
      <c r="L116" s="16"/>
    </row>
    <row r="117" spans="1:12">
      <c r="A117" s="1" t="s">
        <v>3605</v>
      </c>
      <c r="B117" s="7">
        <v>50.46</v>
      </c>
      <c r="C117" s="7">
        <v>52.21</v>
      </c>
      <c r="D117" s="16">
        <f t="shared" si="2"/>
        <v>3.4680935394371781E-2</v>
      </c>
      <c r="E117" s="9">
        <v>46.84</v>
      </c>
      <c r="F117" s="16">
        <f t="shared" si="3"/>
        <v>0.11464560204953025</v>
      </c>
      <c r="G117" s="40"/>
      <c r="J117" s="9"/>
      <c r="K117" s="9"/>
      <c r="L117" s="16"/>
    </row>
    <row r="118" spans="1:12">
      <c r="A118" s="1" t="s">
        <v>3606</v>
      </c>
      <c r="B118" s="7">
        <v>48.5</v>
      </c>
      <c r="C118" s="7">
        <v>50.25</v>
      </c>
      <c r="D118" s="16">
        <f t="shared" si="2"/>
        <v>3.608247422680412E-2</v>
      </c>
      <c r="E118" s="9">
        <v>46.84</v>
      </c>
      <c r="F118" s="16">
        <f t="shared" si="3"/>
        <v>7.2801024765157901E-2</v>
      </c>
      <c r="G118" s="40"/>
      <c r="J118" s="9"/>
      <c r="K118" s="9"/>
      <c r="L118" s="16"/>
    </row>
    <row r="119" spans="1:12">
      <c r="A119" s="1" t="s">
        <v>3575</v>
      </c>
      <c r="B119" s="7">
        <v>55.12</v>
      </c>
      <c r="C119" s="7">
        <v>56.87</v>
      </c>
      <c r="D119" s="16">
        <f t="shared" si="2"/>
        <v>3.17489114658926E-2</v>
      </c>
      <c r="E119" s="9">
        <v>46.84</v>
      </c>
      <c r="F119" s="16">
        <f t="shared" si="3"/>
        <v>0.21413321947053787</v>
      </c>
      <c r="G119" s="40"/>
      <c r="J119" s="9"/>
      <c r="K119" s="9"/>
      <c r="L119" s="16"/>
    </row>
    <row r="120" spans="1:12">
      <c r="A120" s="1" t="s">
        <v>3607</v>
      </c>
      <c r="B120" s="7">
        <v>50.21</v>
      </c>
      <c r="C120" s="7">
        <v>51.96</v>
      </c>
      <c r="D120" s="16">
        <f t="shared" si="2"/>
        <v>3.4853614817765388E-2</v>
      </c>
      <c r="E120" s="9">
        <v>46.84</v>
      </c>
      <c r="F120" s="16">
        <f t="shared" si="3"/>
        <v>0.10930828351836032</v>
      </c>
      <c r="G120" s="40"/>
      <c r="J120" s="9"/>
      <c r="K120" s="9"/>
      <c r="L120" s="16"/>
    </row>
    <row r="121" spans="1:12">
      <c r="A121" s="1" t="s">
        <v>3608</v>
      </c>
      <c r="B121" s="7">
        <v>48.29</v>
      </c>
      <c r="C121" s="7">
        <v>50.04</v>
      </c>
      <c r="D121" s="16">
        <f t="shared" si="2"/>
        <v>3.6239387036653553E-2</v>
      </c>
      <c r="E121" s="9">
        <v>46.84</v>
      </c>
      <c r="F121" s="16">
        <f t="shared" si="3"/>
        <v>6.8317677198975135E-2</v>
      </c>
      <c r="G121" s="40"/>
      <c r="J121" s="9"/>
      <c r="K121" s="9"/>
      <c r="L121" s="16"/>
    </row>
    <row r="122" spans="1:12">
      <c r="A122" s="1" t="s">
        <v>3576</v>
      </c>
      <c r="B122" s="7">
        <v>53.88</v>
      </c>
      <c r="C122" s="7">
        <v>55.63</v>
      </c>
      <c r="D122" s="16">
        <f t="shared" si="2"/>
        <v>3.2479584261321456E-2</v>
      </c>
      <c r="E122" s="9">
        <v>46.84</v>
      </c>
      <c r="F122" s="16">
        <f t="shared" si="3"/>
        <v>0.18766011955593506</v>
      </c>
      <c r="G122" s="40"/>
      <c r="J122" s="9"/>
      <c r="K122" s="9"/>
      <c r="L122" s="16"/>
    </row>
    <row r="123" spans="1:12">
      <c r="A123" s="1" t="s">
        <v>3609</v>
      </c>
      <c r="B123" s="7">
        <v>49.99</v>
      </c>
      <c r="C123" s="7">
        <v>51.74</v>
      </c>
      <c r="D123" s="16">
        <f t="shared" si="2"/>
        <v>3.5007001400280055E-2</v>
      </c>
      <c r="E123" s="9">
        <v>46.84</v>
      </c>
      <c r="F123" s="16">
        <f t="shared" si="3"/>
        <v>0.10461144321093079</v>
      </c>
      <c r="G123" s="40"/>
      <c r="J123" s="9"/>
      <c r="K123" s="9"/>
      <c r="L123" s="16"/>
    </row>
    <row r="124" spans="1:12">
      <c r="A124" s="1" t="s">
        <v>3610</v>
      </c>
      <c r="B124" s="7">
        <v>48.07</v>
      </c>
      <c r="C124" s="7">
        <v>49.82</v>
      </c>
      <c r="D124" s="16">
        <f t="shared" si="2"/>
        <v>3.6405242354899107E-2</v>
      </c>
      <c r="E124" s="9">
        <v>46.84</v>
      </c>
      <c r="F124" s="16">
        <f t="shared" si="3"/>
        <v>6.3620836891545615E-2</v>
      </c>
      <c r="G124" s="40"/>
      <c r="J124" s="9"/>
      <c r="K124" s="9"/>
      <c r="L124" s="16"/>
    </row>
    <row r="125" spans="1:12">
      <c r="A125" s="1" t="s">
        <v>3611</v>
      </c>
      <c r="B125" s="7">
        <v>49.66</v>
      </c>
      <c r="C125" s="7">
        <v>51.41</v>
      </c>
      <c r="D125" s="16">
        <f t="shared" si="2"/>
        <v>3.5239629480467181E-2</v>
      </c>
      <c r="E125" s="9">
        <v>46.84</v>
      </c>
      <c r="F125" s="16">
        <f t="shared" si="3"/>
        <v>9.7566182749786359E-2</v>
      </c>
      <c r="G125" s="40"/>
      <c r="J125" s="9"/>
      <c r="K125" s="9"/>
      <c r="L125" s="16"/>
    </row>
    <row r="126" spans="1:12">
      <c r="A126" s="1" t="s">
        <v>3577</v>
      </c>
      <c r="B126" s="7">
        <v>52.15</v>
      </c>
      <c r="C126" s="7">
        <v>53.9</v>
      </c>
      <c r="D126" s="16">
        <f t="shared" si="2"/>
        <v>3.3557046979865772E-2</v>
      </c>
      <c r="E126" s="9">
        <v>46.84</v>
      </c>
      <c r="F126" s="16">
        <f t="shared" si="3"/>
        <v>0.15072587532023901</v>
      </c>
      <c r="G126" s="40"/>
      <c r="J126" s="9"/>
      <c r="K126" s="9"/>
      <c r="L126" s="16"/>
    </row>
    <row r="127" spans="1:12">
      <c r="A127" s="1" t="s">
        <v>3579</v>
      </c>
      <c r="B127" s="7">
        <v>51.05</v>
      </c>
      <c r="C127" s="7">
        <v>52.8</v>
      </c>
      <c r="D127" s="16">
        <f t="shared" si="2"/>
        <v>3.4280117531831543E-2</v>
      </c>
      <c r="E127" s="9">
        <v>46.84</v>
      </c>
      <c r="F127" s="16">
        <f t="shared" si="3"/>
        <v>0.12724167378309123</v>
      </c>
      <c r="G127" s="40"/>
      <c r="J127" s="9"/>
      <c r="K127" s="9"/>
      <c r="L127" s="16"/>
    </row>
    <row r="128" spans="1:12" ht="25.5">
      <c r="A128" s="1" t="s">
        <v>3602</v>
      </c>
      <c r="B128" s="11" t="s">
        <v>3534</v>
      </c>
      <c r="C128" s="11" t="s">
        <v>3534</v>
      </c>
      <c r="E128" s="9"/>
      <c r="F128" s="16"/>
      <c r="G128" s="40"/>
      <c r="J128" s="9"/>
      <c r="K128" s="9"/>
      <c r="L128" s="16"/>
    </row>
    <row r="129" spans="1:12" ht="25.5">
      <c r="A129" s="1" t="s">
        <v>3612</v>
      </c>
      <c r="B129" s="7"/>
      <c r="C129" s="7"/>
      <c r="E129" s="9"/>
      <c r="F129" s="16"/>
      <c r="G129" s="40"/>
      <c r="J129" s="9"/>
      <c r="K129" s="9"/>
      <c r="L129" s="16"/>
    </row>
    <row r="130" spans="1:12">
      <c r="A130" s="143"/>
      <c r="B130" s="143"/>
      <c r="C130" s="7"/>
      <c r="E130" s="9"/>
      <c r="F130" s="16"/>
      <c r="G130" s="40"/>
      <c r="J130" s="9"/>
      <c r="K130" s="9"/>
      <c r="L130" s="16"/>
    </row>
    <row r="131" spans="1:12" ht="25.5" customHeight="1">
      <c r="A131" s="2" t="s">
        <v>3693</v>
      </c>
      <c r="B131" s="148" t="s">
        <v>3690</v>
      </c>
      <c r="C131" s="148" t="s">
        <v>3690</v>
      </c>
      <c r="E131" s="9"/>
      <c r="F131" s="16"/>
      <c r="G131" s="23" t="s">
        <v>3983</v>
      </c>
      <c r="J131" s="9"/>
      <c r="K131" s="9"/>
      <c r="L131" s="16"/>
    </row>
    <row r="132" spans="1:12">
      <c r="A132" s="3" t="s">
        <v>3569</v>
      </c>
      <c r="B132" s="148"/>
      <c r="C132" s="148"/>
      <c r="E132" s="9"/>
      <c r="F132" s="16"/>
      <c r="G132" s="40"/>
      <c r="J132" s="9"/>
      <c r="K132" s="9"/>
      <c r="L132" s="16"/>
    </row>
    <row r="133" spans="1:12">
      <c r="A133" s="1" t="s">
        <v>3573</v>
      </c>
      <c r="B133" s="7">
        <v>56.1</v>
      </c>
      <c r="C133" s="7">
        <v>57.85</v>
      </c>
      <c r="D133" s="16">
        <f t="shared" ref="D133:D146" si="4">(C133-B133)/B133</f>
        <v>3.1194295900178252E-2</v>
      </c>
      <c r="E133" s="9">
        <v>46.84</v>
      </c>
      <c r="F133" s="16">
        <f t="shared" ref="F133:F146" si="5">(C133-E133)/E133</f>
        <v>0.2350555081127241</v>
      </c>
      <c r="G133" s="40"/>
      <c r="J133" s="9"/>
      <c r="K133" s="9"/>
      <c r="L133" s="16"/>
    </row>
    <row r="134" spans="1:12">
      <c r="A134" s="1" t="s">
        <v>3605</v>
      </c>
      <c r="B134" s="7">
        <v>50.64</v>
      </c>
      <c r="C134" s="7">
        <v>52.39</v>
      </c>
      <c r="D134" s="16">
        <f t="shared" si="4"/>
        <v>3.4557661927330174E-2</v>
      </c>
      <c r="E134" s="9">
        <v>46.84</v>
      </c>
      <c r="F134" s="16">
        <f t="shared" si="5"/>
        <v>0.11848847139197261</v>
      </c>
      <c r="G134" s="40"/>
      <c r="J134" s="9"/>
      <c r="K134" s="9"/>
      <c r="L134" s="16"/>
    </row>
    <row r="135" spans="1:12">
      <c r="A135" s="1" t="s">
        <v>3606</v>
      </c>
      <c r="B135" s="7">
        <v>48.72</v>
      </c>
      <c r="C135" s="7">
        <v>50.47</v>
      </c>
      <c r="D135" s="16">
        <f t="shared" si="4"/>
        <v>3.5919540229885055E-2</v>
      </c>
      <c r="E135" s="9">
        <v>46.84</v>
      </c>
      <c r="F135" s="16">
        <f t="shared" si="5"/>
        <v>7.7497865072587435E-2</v>
      </c>
      <c r="G135" s="40"/>
      <c r="J135" s="9"/>
      <c r="K135" s="9"/>
      <c r="L135" s="16"/>
    </row>
    <row r="136" spans="1:12">
      <c r="A136" s="1" t="s">
        <v>3575</v>
      </c>
      <c r="B136" s="7">
        <v>54.56</v>
      </c>
      <c r="C136" s="7">
        <v>56.31</v>
      </c>
      <c r="D136" s="16">
        <f t="shared" si="4"/>
        <v>3.2074780058651026E-2</v>
      </c>
      <c r="E136" s="9">
        <v>46.84</v>
      </c>
      <c r="F136" s="16">
        <f t="shared" si="5"/>
        <v>0.20217762596071728</v>
      </c>
      <c r="G136" s="40"/>
      <c r="J136" s="9"/>
      <c r="K136" s="9"/>
      <c r="L136" s="16"/>
    </row>
    <row r="137" spans="1:12">
      <c r="A137" s="1" t="s">
        <v>3607</v>
      </c>
      <c r="B137" s="7">
        <v>50.43</v>
      </c>
      <c r="C137" s="7">
        <v>52.18</v>
      </c>
      <c r="D137" s="16">
        <f t="shared" si="4"/>
        <v>3.4701566527860397E-2</v>
      </c>
      <c r="E137" s="9">
        <v>46.84</v>
      </c>
      <c r="F137" s="16">
        <f t="shared" si="5"/>
        <v>0.11400512382578984</v>
      </c>
      <c r="G137" s="40"/>
      <c r="J137" s="9"/>
      <c r="K137" s="9"/>
      <c r="L137" s="16"/>
    </row>
    <row r="138" spans="1:12">
      <c r="A138" s="1" t="s">
        <v>3608</v>
      </c>
      <c r="B138" s="7">
        <v>48.52</v>
      </c>
      <c r="C138" s="7">
        <v>50.27</v>
      </c>
      <c r="D138" s="16">
        <f t="shared" si="4"/>
        <v>3.6067600989282765E-2</v>
      </c>
      <c r="E138" s="9">
        <v>46.84</v>
      </c>
      <c r="F138" s="16">
        <f t="shared" si="5"/>
        <v>7.3228010247651562E-2</v>
      </c>
      <c r="G138" s="40"/>
      <c r="J138" s="9"/>
      <c r="K138" s="9"/>
      <c r="L138" s="16"/>
    </row>
    <row r="139" spans="1:12">
      <c r="A139" s="1" t="s">
        <v>3576</v>
      </c>
      <c r="B139" s="7">
        <v>53.11</v>
      </c>
      <c r="C139" s="7">
        <v>54.86</v>
      </c>
      <c r="D139" s="16">
        <f t="shared" si="4"/>
        <v>3.2950480135567693E-2</v>
      </c>
      <c r="E139" s="9">
        <v>46.84</v>
      </c>
      <c r="F139" s="16">
        <f t="shared" si="5"/>
        <v>0.1712211784799316</v>
      </c>
      <c r="G139" s="40"/>
      <c r="J139" s="9"/>
      <c r="K139" s="9"/>
      <c r="L139" s="16"/>
    </row>
    <row r="140" spans="1:12">
      <c r="A140" s="1" t="s">
        <v>3609</v>
      </c>
      <c r="B140" s="7">
        <v>50.21</v>
      </c>
      <c r="C140" s="7">
        <v>51.96</v>
      </c>
      <c r="D140" s="16">
        <f t="shared" si="4"/>
        <v>3.4853614817765388E-2</v>
      </c>
      <c r="E140" s="9">
        <v>46.84</v>
      </c>
      <c r="F140" s="16">
        <f t="shared" si="5"/>
        <v>0.10930828351836032</v>
      </c>
      <c r="G140" s="40"/>
      <c r="J140" s="9"/>
      <c r="K140" s="9"/>
      <c r="L140" s="16"/>
    </row>
    <row r="141" spans="1:12">
      <c r="A141" s="1" t="s">
        <v>3610</v>
      </c>
      <c r="B141" s="7">
        <v>48.29</v>
      </c>
      <c r="C141" s="7">
        <v>50.04</v>
      </c>
      <c r="D141" s="16">
        <f t="shared" si="4"/>
        <v>3.6239387036653553E-2</v>
      </c>
      <c r="E141" s="9">
        <v>46.84</v>
      </c>
      <c r="F141" s="16">
        <f t="shared" si="5"/>
        <v>6.8317677198975135E-2</v>
      </c>
      <c r="G141" s="40"/>
      <c r="J141" s="9"/>
      <c r="K141" s="9"/>
      <c r="L141" s="16"/>
    </row>
    <row r="142" spans="1:12">
      <c r="A142" s="1" t="s">
        <v>3577</v>
      </c>
      <c r="B142" s="7">
        <v>51.6</v>
      </c>
      <c r="C142" s="7">
        <v>53.35</v>
      </c>
      <c r="D142" s="16">
        <f t="shared" si="4"/>
        <v>3.391472868217054E-2</v>
      </c>
      <c r="E142" s="9">
        <v>46.84</v>
      </c>
      <c r="F142" s="16">
        <f t="shared" si="5"/>
        <v>0.13898377455166519</v>
      </c>
      <c r="G142" s="40"/>
      <c r="J142" s="9"/>
      <c r="K142" s="9"/>
      <c r="L142" s="16"/>
    </row>
    <row r="143" spans="1:12">
      <c r="A143" s="1" t="s">
        <v>3579</v>
      </c>
      <c r="B143" s="7">
        <v>50.49</v>
      </c>
      <c r="C143" s="7">
        <v>52.24</v>
      </c>
      <c r="D143" s="16">
        <f t="shared" si="4"/>
        <v>3.4660328777975834E-2</v>
      </c>
      <c r="E143" s="9">
        <v>46.84</v>
      </c>
      <c r="F143" s="16">
        <f t="shared" si="5"/>
        <v>0.11528608027327067</v>
      </c>
      <c r="G143" s="40"/>
      <c r="J143" s="9"/>
      <c r="K143" s="9"/>
      <c r="L143" s="16"/>
    </row>
    <row r="144" spans="1:12">
      <c r="A144" s="1" t="s">
        <v>3580</v>
      </c>
      <c r="B144" s="7">
        <v>49.38</v>
      </c>
      <c r="C144" s="7">
        <v>51.13</v>
      </c>
      <c r="D144" s="16">
        <f t="shared" si="4"/>
        <v>3.5439449169704332E-2</v>
      </c>
      <c r="E144" s="9">
        <v>46.84</v>
      </c>
      <c r="F144" s="16">
        <f t="shared" si="5"/>
        <v>9.1588385994876148E-2</v>
      </c>
      <c r="G144" s="40"/>
      <c r="J144" s="9"/>
      <c r="K144" s="9"/>
      <c r="L144" s="16"/>
    </row>
    <row r="145" spans="1:12">
      <c r="A145" s="1" t="s">
        <v>3593</v>
      </c>
      <c r="B145" s="7">
        <v>48.42</v>
      </c>
      <c r="C145" s="7">
        <v>50.17</v>
      </c>
      <c r="D145" s="16">
        <f t="shared" si="4"/>
        <v>3.6142090045435768E-2</v>
      </c>
      <c r="E145" s="9">
        <v>46.84</v>
      </c>
      <c r="F145" s="16">
        <f t="shared" si="5"/>
        <v>7.1093082835183563E-2</v>
      </c>
      <c r="G145" s="40"/>
      <c r="J145" s="9"/>
      <c r="K145" s="9"/>
      <c r="L145" s="16"/>
    </row>
    <row r="146" spans="1:12">
      <c r="A146" s="1" t="s">
        <v>3594</v>
      </c>
      <c r="B146" s="7">
        <v>47.46</v>
      </c>
      <c r="C146" s="7">
        <v>49.21</v>
      </c>
      <c r="D146" s="16">
        <f t="shared" si="4"/>
        <v>3.687315634218289E-2</v>
      </c>
      <c r="E146" s="9">
        <v>46.84</v>
      </c>
      <c r="F146" s="16">
        <f t="shared" si="5"/>
        <v>5.0597779675490978E-2</v>
      </c>
      <c r="G146" s="40"/>
      <c r="J146" s="9"/>
      <c r="K146" s="9"/>
      <c r="L146" s="16"/>
    </row>
    <row r="147" spans="1:12">
      <c r="A147" s="1" t="s">
        <v>3614</v>
      </c>
      <c r="B147" s="11" t="s">
        <v>3534</v>
      </c>
      <c r="C147" s="11" t="s">
        <v>3534</v>
      </c>
      <c r="E147" s="9"/>
      <c r="F147" s="16"/>
      <c r="G147" s="40"/>
      <c r="J147" s="9"/>
      <c r="K147" s="9"/>
      <c r="L147" s="16"/>
    </row>
    <row r="148" spans="1:12">
      <c r="A148" s="1" t="s">
        <v>3615</v>
      </c>
      <c r="B148" s="11" t="s">
        <v>3534</v>
      </c>
      <c r="C148" s="11" t="s">
        <v>3534</v>
      </c>
      <c r="E148" s="9"/>
      <c r="F148" s="16"/>
      <c r="G148" s="40"/>
      <c r="J148" s="9"/>
      <c r="K148" s="9"/>
      <c r="L148" s="16"/>
    </row>
    <row r="149" spans="1:12">
      <c r="A149" s="1"/>
      <c r="B149" s="7"/>
      <c r="C149" s="7"/>
      <c r="E149" s="9"/>
      <c r="F149" s="16"/>
      <c r="G149" s="40"/>
      <c r="J149" s="9"/>
      <c r="K149" s="9"/>
      <c r="L149" s="16"/>
    </row>
    <row r="150" spans="1:12">
      <c r="A150" s="143"/>
      <c r="B150" s="143"/>
      <c r="C150" s="7"/>
      <c r="E150" s="9"/>
      <c r="F150" s="16"/>
      <c r="G150" s="40"/>
      <c r="J150" s="9"/>
      <c r="K150" s="9"/>
      <c r="L150" s="16"/>
    </row>
    <row r="151" spans="1:12" ht="12.75" customHeight="1">
      <c r="A151" s="144" t="s">
        <v>3616</v>
      </c>
      <c r="B151" s="144"/>
      <c r="C151" s="10"/>
      <c r="D151" s="8"/>
      <c r="E151" s="44"/>
      <c r="F151" s="43"/>
      <c r="G151" s="23" t="s">
        <v>3983</v>
      </c>
      <c r="H151" s="43">
        <f>AVERAGE(F152:F159)</f>
        <v>-1.855149896111474E-3</v>
      </c>
      <c r="I151" s="8"/>
      <c r="J151" s="44"/>
      <c r="K151" s="44"/>
      <c r="L151" s="43"/>
    </row>
    <row r="152" spans="1:12">
      <c r="A152" s="1" t="s">
        <v>3617</v>
      </c>
      <c r="B152" s="7">
        <v>32.74</v>
      </c>
      <c r="C152" s="7">
        <v>32.74</v>
      </c>
      <c r="D152" s="16">
        <f t="shared" ref="D152:D159" si="6">(C152-B152)/B152</f>
        <v>0</v>
      </c>
      <c r="E152" s="9">
        <v>33.69</v>
      </c>
      <c r="F152" s="16">
        <f t="shared" ref="F152:F159" si="7">(C152-E152)/E152</f>
        <v>-2.8198278420896283E-2</v>
      </c>
      <c r="G152" s="40"/>
      <c r="J152" s="9"/>
      <c r="K152" s="9"/>
      <c r="L152" s="16"/>
    </row>
    <row r="153" spans="1:12">
      <c r="A153" s="1" t="s">
        <v>3618</v>
      </c>
      <c r="B153" s="7">
        <v>33.590000000000003</v>
      </c>
      <c r="C153" s="7">
        <v>33.590000000000003</v>
      </c>
      <c r="D153" s="16">
        <f t="shared" si="6"/>
        <v>0</v>
      </c>
      <c r="E153" s="9">
        <v>33.69</v>
      </c>
      <c r="F153" s="16">
        <f t="shared" si="7"/>
        <v>-2.9682398337784006E-3</v>
      </c>
      <c r="G153" s="40"/>
      <c r="J153" s="9"/>
      <c r="K153" s="9"/>
      <c r="L153" s="16"/>
    </row>
    <row r="154" spans="1:12">
      <c r="A154" s="1" t="s">
        <v>3619</v>
      </c>
      <c r="B154" s="7">
        <v>33.24</v>
      </c>
      <c r="C154" s="7">
        <v>33.24</v>
      </c>
      <c r="D154" s="16">
        <f t="shared" si="6"/>
        <v>0</v>
      </c>
      <c r="E154" s="9">
        <v>33.69</v>
      </c>
      <c r="F154" s="16">
        <f t="shared" si="7"/>
        <v>-1.3357079252003436E-2</v>
      </c>
      <c r="G154" s="40"/>
      <c r="J154" s="9"/>
      <c r="K154" s="9"/>
      <c r="L154" s="16"/>
    </row>
    <row r="155" spans="1:12">
      <c r="A155" s="1" t="s">
        <v>3620</v>
      </c>
      <c r="B155" s="7">
        <v>33.74</v>
      </c>
      <c r="C155" s="7">
        <v>33.74</v>
      </c>
      <c r="D155" s="16">
        <f t="shared" si="6"/>
        <v>0</v>
      </c>
      <c r="E155" s="9">
        <v>33.69</v>
      </c>
      <c r="F155" s="16">
        <f t="shared" si="7"/>
        <v>1.4841199168894113E-3</v>
      </c>
      <c r="G155" s="40"/>
      <c r="J155" s="9"/>
      <c r="K155" s="9"/>
      <c r="L155" s="16"/>
    </row>
    <row r="156" spans="1:12">
      <c r="A156" s="1" t="s">
        <v>3621</v>
      </c>
      <c r="B156" s="7">
        <v>34.74</v>
      </c>
      <c r="C156" s="7">
        <v>34.74</v>
      </c>
      <c r="D156" s="16">
        <f t="shared" si="6"/>
        <v>0</v>
      </c>
      <c r="E156" s="9">
        <v>33.69</v>
      </c>
      <c r="F156" s="16">
        <f t="shared" si="7"/>
        <v>3.1166518254675108E-2</v>
      </c>
      <c r="G156" s="40"/>
      <c r="J156" s="9"/>
      <c r="K156" s="9"/>
      <c r="L156" s="16"/>
    </row>
    <row r="157" spans="1:12">
      <c r="A157" s="1" t="s">
        <v>3622</v>
      </c>
      <c r="B157" s="7">
        <v>33.24</v>
      </c>
      <c r="C157" s="7">
        <v>33.24</v>
      </c>
      <c r="D157" s="16">
        <f t="shared" si="6"/>
        <v>0</v>
      </c>
      <c r="E157" s="9">
        <v>33.69</v>
      </c>
      <c r="F157" s="16">
        <f t="shared" si="7"/>
        <v>-1.3357079252003436E-2</v>
      </c>
      <c r="G157" s="40"/>
      <c r="J157" s="9"/>
      <c r="K157" s="9"/>
      <c r="L157" s="16"/>
    </row>
    <row r="158" spans="1:12">
      <c r="A158" s="1" t="s">
        <v>3623</v>
      </c>
      <c r="B158" s="7">
        <v>33.74</v>
      </c>
      <c r="C158" s="7">
        <v>33.74</v>
      </c>
      <c r="D158" s="16">
        <f t="shared" si="6"/>
        <v>0</v>
      </c>
      <c r="E158" s="9">
        <v>33.69</v>
      </c>
      <c r="F158" s="16">
        <f t="shared" si="7"/>
        <v>1.4841199168894113E-3</v>
      </c>
      <c r="G158" s="40"/>
      <c r="J158" s="9"/>
      <c r="K158" s="9"/>
      <c r="L158" s="16"/>
    </row>
    <row r="159" spans="1:12" ht="25.5">
      <c r="A159" s="1" t="s">
        <v>3624</v>
      </c>
      <c r="B159" s="7">
        <v>33.99</v>
      </c>
      <c r="C159" s="7">
        <v>33.99</v>
      </c>
      <c r="D159" s="16">
        <f t="shared" si="6"/>
        <v>0</v>
      </c>
      <c r="E159" s="9">
        <v>33.69</v>
      </c>
      <c r="F159" s="16">
        <f t="shared" si="7"/>
        <v>8.9047195013358359E-3</v>
      </c>
      <c r="G159" s="40"/>
      <c r="J159" s="9"/>
      <c r="K159" s="9"/>
      <c r="L159" s="16"/>
    </row>
    <row r="160" spans="1:12" ht="63.75">
      <c r="A160" s="1" t="s">
        <v>3601</v>
      </c>
      <c r="B160" s="7" t="s">
        <v>3625</v>
      </c>
      <c r="C160" s="7" t="s">
        <v>3625</v>
      </c>
      <c r="E160" s="9"/>
      <c r="F160" s="16"/>
      <c r="G160" s="40"/>
      <c r="J160" s="9"/>
      <c r="K160" s="9"/>
      <c r="L160" s="16"/>
    </row>
    <row r="161" spans="1:12">
      <c r="A161" s="143"/>
      <c r="B161" s="143"/>
      <c r="C161" s="7"/>
      <c r="E161" s="9"/>
      <c r="F161" s="16"/>
      <c r="G161" s="40"/>
      <c r="J161" s="9"/>
      <c r="K161" s="9"/>
      <c r="L161" s="16"/>
    </row>
    <row r="162" spans="1:12" ht="12.75" customHeight="1">
      <c r="A162" s="144" t="s">
        <v>3626</v>
      </c>
      <c r="B162" s="144"/>
      <c r="C162" s="10"/>
      <c r="E162" s="9"/>
      <c r="F162" s="16"/>
      <c r="G162" s="40"/>
      <c r="J162" s="9"/>
      <c r="K162" s="9"/>
      <c r="L162" s="16"/>
    </row>
    <row r="163" spans="1:12">
      <c r="A163" s="1" t="s">
        <v>3627</v>
      </c>
      <c r="B163" s="7">
        <v>58.47</v>
      </c>
      <c r="C163" s="7">
        <v>58.47</v>
      </c>
      <c r="D163" s="16">
        <f>(C163-B163)/B163</f>
        <v>0</v>
      </c>
      <c r="E163" s="9"/>
      <c r="F163" s="16"/>
      <c r="G163" s="40"/>
      <c r="J163" s="9"/>
      <c r="K163" s="9"/>
      <c r="L163" s="16"/>
    </row>
    <row r="164" spans="1:12">
      <c r="A164" s="1" t="s">
        <v>3628</v>
      </c>
      <c r="B164" s="7">
        <v>62.05</v>
      </c>
      <c r="C164" s="7">
        <v>62.05</v>
      </c>
      <c r="D164" s="16">
        <f>(C164-B164)/B164</f>
        <v>0</v>
      </c>
      <c r="E164" s="9"/>
      <c r="F164" s="16"/>
      <c r="G164" s="40"/>
      <c r="J164" s="9"/>
      <c r="K164" s="9"/>
      <c r="L164" s="16"/>
    </row>
    <row r="165" spans="1:12">
      <c r="A165" s="143"/>
      <c r="B165" s="143"/>
      <c r="C165" s="7"/>
      <c r="E165" s="9"/>
      <c r="F165" s="16"/>
      <c r="G165" s="40"/>
      <c r="J165" s="9"/>
      <c r="K165" s="9"/>
      <c r="L165" s="16"/>
    </row>
    <row r="166" spans="1:12" ht="38.25">
      <c r="A166" s="2" t="s">
        <v>3874</v>
      </c>
      <c r="B166" s="12" t="s">
        <v>3510</v>
      </c>
      <c r="C166" s="31" t="s">
        <v>3480</v>
      </c>
      <c r="D166" s="8"/>
      <c r="E166" s="44"/>
      <c r="F166" s="43"/>
      <c r="G166" s="23" t="s">
        <v>3983</v>
      </c>
      <c r="H166" s="43">
        <f>AVERAGE(F167)</f>
        <v>-1.4735052422782545E-2</v>
      </c>
      <c r="I166" s="8"/>
      <c r="J166" s="44"/>
      <c r="K166" s="44"/>
      <c r="L166" s="43"/>
    </row>
    <row r="167" spans="1:12">
      <c r="A167" s="1" t="s">
        <v>3694</v>
      </c>
      <c r="B167" s="7">
        <v>34.270000000000003</v>
      </c>
      <c r="C167" s="7">
        <v>34.770000000000003</v>
      </c>
      <c r="D167" s="16">
        <f>(C167-B167)/B167</f>
        <v>1.4590020426028595E-2</v>
      </c>
      <c r="E167" s="9">
        <v>35.29</v>
      </c>
      <c r="F167" s="16">
        <f>(C167-E167)/E167</f>
        <v>-1.4735052422782545E-2</v>
      </c>
      <c r="G167" s="40"/>
      <c r="J167" s="9"/>
      <c r="K167" s="9"/>
      <c r="L167" s="16"/>
    </row>
    <row r="168" spans="1:12">
      <c r="A168" s="1"/>
      <c r="B168" s="7"/>
      <c r="C168" s="7"/>
      <c r="E168" s="9"/>
      <c r="F168" s="16"/>
      <c r="G168" s="40"/>
      <c r="J168" s="9"/>
      <c r="K168" s="9"/>
      <c r="L168" s="16"/>
    </row>
    <row r="169" spans="1:12">
      <c r="A169" s="2" t="s">
        <v>3632</v>
      </c>
      <c r="B169" s="11" t="s">
        <v>3534</v>
      </c>
      <c r="C169" s="33" t="s">
        <v>3534</v>
      </c>
      <c r="D169" s="8"/>
      <c r="E169" s="44"/>
      <c r="F169" s="43"/>
      <c r="G169" s="23" t="s">
        <v>3983</v>
      </c>
      <c r="H169" s="43">
        <f>AVERAGE(F170)</f>
        <v>-4.4052863436122407E-3</v>
      </c>
      <c r="I169" s="8"/>
      <c r="J169" s="44"/>
      <c r="K169" s="44"/>
      <c r="L169" s="43"/>
    </row>
    <row r="170" spans="1:12">
      <c r="A170" s="1" t="s">
        <v>3926</v>
      </c>
      <c r="B170" s="7">
        <v>45.2</v>
      </c>
      <c r="C170" s="7">
        <v>45.2</v>
      </c>
      <c r="D170" s="16">
        <f>(C170-B170)/B170</f>
        <v>0</v>
      </c>
      <c r="E170" s="9">
        <v>45.4</v>
      </c>
      <c r="F170" s="16">
        <f>(C170-E170)/E170</f>
        <v>-4.4052863436122407E-3</v>
      </c>
      <c r="G170" s="40"/>
      <c r="J170" s="9"/>
      <c r="K170" s="9"/>
      <c r="L170" s="16"/>
    </row>
    <row r="171" spans="1:12">
      <c r="A171" s="1"/>
      <c r="B171" s="7"/>
      <c r="C171" s="7"/>
      <c r="E171" s="9"/>
      <c r="F171" s="16"/>
      <c r="G171" s="40"/>
      <c r="J171" s="9"/>
      <c r="K171" s="9"/>
      <c r="L171" s="16"/>
    </row>
    <row r="172" spans="1:12">
      <c r="A172" s="2" t="s">
        <v>3636</v>
      </c>
      <c r="B172" s="11" t="s">
        <v>3534</v>
      </c>
      <c r="C172" s="33" t="s">
        <v>3534</v>
      </c>
      <c r="D172" s="8"/>
      <c r="E172" s="44"/>
      <c r="F172" s="43"/>
      <c r="G172" s="23" t="s">
        <v>3983</v>
      </c>
      <c r="H172" s="43">
        <f>AVERAGE(F173)</f>
        <v>4.5248868778280472E-2</v>
      </c>
      <c r="I172" s="8"/>
      <c r="J172" s="44"/>
      <c r="K172" s="44"/>
      <c r="L172" s="43"/>
    </row>
    <row r="173" spans="1:12">
      <c r="A173" s="1" t="s">
        <v>3913</v>
      </c>
      <c r="B173" s="7">
        <v>27.52</v>
      </c>
      <c r="C173" s="7">
        <v>41.58</v>
      </c>
      <c r="D173" s="16">
        <f>(C173-B173)/B173</f>
        <v>0.51090116279069764</v>
      </c>
      <c r="E173" s="9">
        <v>39.78</v>
      </c>
      <c r="F173" s="16">
        <f>(C173-E173)/E173</f>
        <v>4.5248868778280472E-2</v>
      </c>
      <c r="G173" s="40"/>
      <c r="J173" s="9"/>
      <c r="K173" s="9"/>
      <c r="L173" s="16"/>
    </row>
    <row r="174" spans="1:12">
      <c r="A174" s="1"/>
      <c r="B174" s="7"/>
      <c r="C174" s="7"/>
      <c r="E174" s="9"/>
      <c r="F174" s="16"/>
      <c r="G174" s="40"/>
      <c r="J174" s="9"/>
      <c r="K174" s="9"/>
      <c r="L174" s="16"/>
    </row>
    <row r="175" spans="1:12">
      <c r="A175" s="2" t="s">
        <v>3879</v>
      </c>
      <c r="B175" s="11" t="s">
        <v>3534</v>
      </c>
      <c r="C175" s="11" t="s">
        <v>3534</v>
      </c>
      <c r="E175" s="9"/>
      <c r="F175" s="16"/>
      <c r="G175" s="40"/>
      <c r="J175" s="9"/>
      <c r="K175" s="9"/>
      <c r="L175" s="16"/>
    </row>
    <row r="176" spans="1:12" ht="16.5" customHeight="1">
      <c r="A176" s="1" t="s">
        <v>3880</v>
      </c>
      <c r="B176" s="11"/>
      <c r="C176" s="33"/>
      <c r="D176" s="8"/>
      <c r="E176" s="44"/>
      <c r="F176" s="43"/>
      <c r="G176" s="23" t="s">
        <v>3984</v>
      </c>
      <c r="H176" s="8"/>
      <c r="I176" s="43">
        <f>AVERAGE(F177:F180)</f>
        <v>-4.8136009832035935E-3</v>
      </c>
      <c r="J176" s="44"/>
      <c r="K176" s="44"/>
      <c r="L176" s="43"/>
    </row>
    <row r="177" spans="1:12">
      <c r="A177" s="1" t="s">
        <v>3915</v>
      </c>
      <c r="B177" s="7">
        <v>24.11</v>
      </c>
      <c r="C177" s="7">
        <v>24.11</v>
      </c>
      <c r="D177" s="16">
        <f>(C177-B177)/B177</f>
        <v>0</v>
      </c>
      <c r="E177" s="9">
        <v>24.11</v>
      </c>
      <c r="F177" s="16">
        <f>(C177-E177)/E177</f>
        <v>0</v>
      </c>
      <c r="G177" s="40"/>
      <c r="J177" s="9"/>
      <c r="K177" s="9"/>
      <c r="L177" s="16"/>
    </row>
    <row r="178" spans="1:12">
      <c r="A178" s="1"/>
      <c r="B178" s="7"/>
      <c r="C178" s="7"/>
      <c r="E178" s="9"/>
      <c r="F178" s="16"/>
      <c r="G178" s="40"/>
      <c r="J178" s="9"/>
      <c r="K178" s="9"/>
      <c r="L178" s="16"/>
    </row>
    <row r="179" spans="1:12" ht="38.25">
      <c r="A179" s="2" t="s">
        <v>3640</v>
      </c>
      <c r="B179" s="7"/>
      <c r="C179" s="12" t="s">
        <v>3977</v>
      </c>
      <c r="D179" s="8"/>
      <c r="E179" s="44"/>
      <c r="F179" s="43"/>
      <c r="G179" s="23" t="s">
        <v>3983</v>
      </c>
      <c r="H179" s="43">
        <f>AVERAGE(F180)</f>
        <v>-9.6272019664071871E-3</v>
      </c>
      <c r="I179" s="8"/>
      <c r="J179" s="44"/>
      <c r="K179" s="44"/>
      <c r="L179" s="43"/>
    </row>
    <row r="180" spans="1:12">
      <c r="A180" s="1" t="s">
        <v>3949</v>
      </c>
      <c r="B180" s="7">
        <v>46.6</v>
      </c>
      <c r="C180" s="7">
        <v>48.35</v>
      </c>
      <c r="D180" s="16">
        <f>(C180-B180)/B180</f>
        <v>3.7553648068669523E-2</v>
      </c>
      <c r="E180" s="9">
        <v>48.82</v>
      </c>
      <c r="F180" s="16">
        <f>(C180-E180)/E180</f>
        <v>-9.6272019664071871E-3</v>
      </c>
      <c r="G180" s="40"/>
      <c r="J180" s="9"/>
      <c r="K180" s="9"/>
      <c r="L180" s="16"/>
    </row>
    <row r="181" spans="1:12">
      <c r="A181" s="1"/>
      <c r="B181" s="7"/>
      <c r="C181" s="7"/>
      <c r="E181" s="9"/>
      <c r="F181" s="16"/>
      <c r="G181" s="40"/>
      <c r="J181" s="9"/>
      <c r="K181" s="9"/>
      <c r="L181" s="16"/>
    </row>
    <row r="182" spans="1:12">
      <c r="A182" s="2" t="s">
        <v>3644</v>
      </c>
      <c r="B182" s="11" t="s">
        <v>3534</v>
      </c>
      <c r="C182" s="33" t="s">
        <v>3534</v>
      </c>
      <c r="D182" s="8"/>
      <c r="E182" s="44"/>
      <c r="F182" s="43"/>
      <c r="G182" s="23" t="s">
        <v>3984</v>
      </c>
      <c r="H182" s="8"/>
      <c r="I182" s="43">
        <f>AVERAGE(F183:F186)</f>
        <v>-8.4670853686903927E-2</v>
      </c>
      <c r="J182" s="44"/>
      <c r="K182" s="44"/>
      <c r="L182" s="43"/>
    </row>
    <row r="183" spans="1:12">
      <c r="A183" s="1" t="s">
        <v>3645</v>
      </c>
      <c r="B183" s="7">
        <v>52.3</v>
      </c>
      <c r="C183" s="7">
        <v>39.35</v>
      </c>
      <c r="D183" s="16">
        <f>(C183-B183)/B183</f>
        <v>-0.24760994263862326</v>
      </c>
      <c r="E183" s="9">
        <v>42.99</v>
      </c>
      <c r="F183" s="16">
        <f>(C183-E183)/E183</f>
        <v>-8.4670853686903941E-2</v>
      </c>
      <c r="G183" s="40"/>
      <c r="J183" s="9"/>
      <c r="K183" s="9"/>
      <c r="L183" s="16"/>
    </row>
    <row r="184" spans="1:12">
      <c r="A184" s="1" t="s">
        <v>3646</v>
      </c>
      <c r="B184" s="7">
        <v>55.05</v>
      </c>
      <c r="C184" s="7">
        <v>39.35</v>
      </c>
      <c r="D184" s="16">
        <f>(C184-B184)/B184</f>
        <v>-0.28519527702089004</v>
      </c>
      <c r="E184" s="9">
        <v>42.99</v>
      </c>
      <c r="F184" s="16">
        <f>(C184-E184)/E184</f>
        <v>-8.4670853686903941E-2</v>
      </c>
      <c r="G184" s="40"/>
      <c r="J184" s="9"/>
      <c r="K184" s="9"/>
      <c r="L184" s="16"/>
    </row>
    <row r="185" spans="1:12">
      <c r="A185" s="1" t="s">
        <v>3647</v>
      </c>
      <c r="B185" s="7">
        <v>57.3</v>
      </c>
      <c r="C185" s="7">
        <v>39.35</v>
      </c>
      <c r="D185" s="16">
        <f>(C185-B185)/B185</f>
        <v>-0.31326352530541007</v>
      </c>
      <c r="E185" s="9">
        <v>42.99</v>
      </c>
      <c r="F185" s="16">
        <f>(C185-E185)/E185</f>
        <v>-8.4670853686903941E-2</v>
      </c>
      <c r="G185" s="40"/>
      <c r="J185" s="9"/>
      <c r="K185" s="9"/>
      <c r="L185" s="16"/>
    </row>
    <row r="186" spans="1:12">
      <c r="A186" s="1"/>
      <c r="B186" s="7"/>
      <c r="C186" s="7"/>
      <c r="E186" s="9"/>
      <c r="F186" s="16"/>
      <c r="G186" s="40"/>
      <c r="J186" s="9"/>
      <c r="K186" s="9"/>
      <c r="L186" s="16"/>
    </row>
    <row r="187" spans="1:12" ht="25.5">
      <c r="A187" s="2" t="s">
        <v>3648</v>
      </c>
      <c r="B187" s="7"/>
      <c r="C187" s="31" t="s">
        <v>3497</v>
      </c>
      <c r="D187" s="8"/>
      <c r="E187" s="44"/>
      <c r="F187" s="43"/>
      <c r="G187" s="23" t="s">
        <v>3984</v>
      </c>
      <c r="H187" s="8"/>
      <c r="I187" s="43">
        <f>AVERAGE(F188:F191)</f>
        <v>6.1383928571428249E-3</v>
      </c>
      <c r="J187" s="44"/>
      <c r="K187" s="44"/>
      <c r="L187" s="43"/>
    </row>
    <row r="188" spans="1:12">
      <c r="A188" s="1" t="s">
        <v>3650</v>
      </c>
      <c r="B188" s="7">
        <v>37.79</v>
      </c>
      <c r="C188" s="7">
        <v>25.63</v>
      </c>
      <c r="D188" s="16">
        <f>(C188-B188)/B188</f>
        <v>-0.32177824821381318</v>
      </c>
      <c r="E188" s="9">
        <v>25.63</v>
      </c>
      <c r="F188" s="16">
        <f>(C188-E188)/E188</f>
        <v>0</v>
      </c>
      <c r="G188" s="40"/>
      <c r="J188" s="9"/>
      <c r="K188" s="9"/>
      <c r="L188" s="16"/>
    </row>
    <row r="189" spans="1:12">
      <c r="A189" s="1"/>
      <c r="B189" s="7"/>
      <c r="C189" s="7"/>
      <c r="E189" s="9"/>
      <c r="F189" s="16"/>
      <c r="G189" s="40"/>
      <c r="J189" s="9"/>
      <c r="K189" s="9"/>
      <c r="L189" s="16"/>
    </row>
    <row r="190" spans="1:12">
      <c r="A190" s="2" t="s">
        <v>3651</v>
      </c>
      <c r="B190" s="11" t="s">
        <v>3534</v>
      </c>
      <c r="C190" s="31" t="s">
        <v>3479</v>
      </c>
      <c r="D190" s="8"/>
      <c r="E190" s="44"/>
      <c r="F190" s="43"/>
      <c r="G190" s="23" t="s">
        <v>3983</v>
      </c>
      <c r="H190" s="43">
        <f>AVERAGE(F191)</f>
        <v>1.227678571428565E-2</v>
      </c>
      <c r="I190" s="8"/>
      <c r="J190" s="44"/>
      <c r="K190" s="44"/>
      <c r="L190" s="43"/>
    </row>
    <row r="191" spans="1:12">
      <c r="A191" s="1" t="s">
        <v>3652</v>
      </c>
      <c r="B191" s="7">
        <v>35.49</v>
      </c>
      <c r="C191" s="7">
        <v>36.28</v>
      </c>
      <c r="D191" s="16">
        <f>(C191-B191)/B191</f>
        <v>2.2259791490560697E-2</v>
      </c>
      <c r="E191" s="9">
        <v>35.840000000000003</v>
      </c>
      <c r="F191" s="16">
        <f>(C191-E191)/E191</f>
        <v>1.227678571428565E-2</v>
      </c>
      <c r="G191" s="40"/>
      <c r="J191" s="9"/>
      <c r="K191" s="9"/>
      <c r="L191" s="16"/>
    </row>
    <row r="192" spans="1:12">
      <c r="A192" s="1"/>
      <c r="B192" s="7"/>
      <c r="C192" s="7"/>
      <c r="E192" s="9"/>
      <c r="F192" s="16"/>
      <c r="G192" s="40"/>
      <c r="J192" s="9"/>
      <c r="K192" s="9"/>
      <c r="L192" s="16"/>
    </row>
    <row r="193" spans="1:12" ht="38.25">
      <c r="A193" s="2" t="s">
        <v>3653</v>
      </c>
      <c r="B193" s="12" t="s">
        <v>3510</v>
      </c>
      <c r="C193" s="44" t="s">
        <v>3997</v>
      </c>
      <c r="D193" s="8"/>
      <c r="E193" s="44"/>
      <c r="F193" s="43"/>
      <c r="G193" s="23" t="s">
        <v>3983</v>
      </c>
      <c r="H193" s="43">
        <f>AVERAGE(F194)</f>
        <v>1.0195758564437194E-2</v>
      </c>
      <c r="I193" s="8"/>
      <c r="J193" s="44"/>
      <c r="K193" s="44"/>
      <c r="L193" s="43"/>
    </row>
    <row r="194" spans="1:12">
      <c r="A194" s="1" t="s">
        <v>3654</v>
      </c>
      <c r="B194" s="7">
        <v>32.479999999999997</v>
      </c>
      <c r="C194" s="7">
        <v>24.77</v>
      </c>
      <c r="D194" s="16">
        <f>(C194-B194)/B194</f>
        <v>-0.23737684729064035</v>
      </c>
      <c r="E194" s="9">
        <v>24.52</v>
      </c>
      <c r="F194" s="16">
        <f>(C194-E194)/E194</f>
        <v>1.0195758564437194E-2</v>
      </c>
      <c r="G194" s="40"/>
      <c r="J194" s="9"/>
      <c r="K194" s="9"/>
      <c r="L194" s="16"/>
    </row>
    <row r="195" spans="1:12">
      <c r="A195" s="1"/>
      <c r="B195" s="7"/>
      <c r="C195" s="7"/>
      <c r="E195" s="9"/>
      <c r="F195" s="16"/>
      <c r="G195" s="40"/>
      <c r="J195" s="9"/>
      <c r="K195" s="9"/>
      <c r="L195" s="16"/>
    </row>
    <row r="196" spans="1:12" ht="38.25">
      <c r="A196" s="2" t="s">
        <v>3655</v>
      </c>
      <c r="B196" s="12" t="s">
        <v>3510</v>
      </c>
      <c r="C196" s="44" t="s">
        <v>3997</v>
      </c>
      <c r="D196" s="8"/>
      <c r="E196" s="44"/>
      <c r="F196" s="43"/>
      <c r="G196" s="23" t="s">
        <v>3983</v>
      </c>
      <c r="H196" s="43">
        <f>AVERAGE(F197:F202)</f>
        <v>4.5246618933969592E-2</v>
      </c>
      <c r="I196" s="8"/>
      <c r="J196" s="44"/>
      <c r="K196" s="44"/>
      <c r="L196" s="43"/>
    </row>
    <row r="197" spans="1:12">
      <c r="A197" s="1" t="s">
        <v>3656</v>
      </c>
      <c r="B197" s="7">
        <v>35.99</v>
      </c>
      <c r="C197" s="7">
        <v>32.869999999999997</v>
      </c>
      <c r="D197" s="16">
        <f t="shared" ref="D197:D202" si="8">(C197-B197)/B197</f>
        <v>-8.6690747429841744E-2</v>
      </c>
      <c r="E197" s="9">
        <v>33.520000000000003</v>
      </c>
      <c r="F197" s="16">
        <f t="shared" ref="F197:F202" si="9">(C197-E197)/E197</f>
        <v>-1.9391408114558639E-2</v>
      </c>
      <c r="G197" s="40"/>
      <c r="J197" s="9"/>
      <c r="K197" s="9"/>
      <c r="L197" s="16"/>
    </row>
    <row r="198" spans="1:12">
      <c r="A198" s="1" t="s">
        <v>3657</v>
      </c>
      <c r="B198" s="7">
        <v>35.99</v>
      </c>
      <c r="C198" s="7">
        <v>34.119999999999997</v>
      </c>
      <c r="D198" s="16">
        <f t="shared" si="8"/>
        <v>-5.1958877465962894E-2</v>
      </c>
      <c r="E198" s="9">
        <v>33.520000000000003</v>
      </c>
      <c r="F198" s="16">
        <f t="shared" si="9"/>
        <v>1.7899761336515344E-2</v>
      </c>
      <c r="G198" s="40"/>
      <c r="J198" s="9"/>
      <c r="K198" s="9"/>
      <c r="L198" s="16"/>
    </row>
    <row r="199" spans="1:12">
      <c r="A199" s="1" t="s">
        <v>3916</v>
      </c>
      <c r="B199" s="7">
        <v>35.99</v>
      </c>
      <c r="C199" s="7">
        <v>35.869999999999997</v>
      </c>
      <c r="D199" s="16">
        <f t="shared" si="8"/>
        <v>-3.3342595165324965E-3</v>
      </c>
      <c r="E199" s="9">
        <v>33.520000000000003</v>
      </c>
      <c r="F199" s="16">
        <f t="shared" si="9"/>
        <v>7.0107398568018911E-2</v>
      </c>
      <c r="G199" s="40"/>
      <c r="J199" s="9"/>
      <c r="K199" s="9"/>
      <c r="L199" s="16"/>
    </row>
    <row r="200" spans="1:12">
      <c r="A200" s="1" t="s">
        <v>3659</v>
      </c>
      <c r="B200" s="7">
        <v>35.99</v>
      </c>
      <c r="C200" s="7">
        <v>34.369999999999997</v>
      </c>
      <c r="D200" s="16">
        <f t="shared" si="8"/>
        <v>-4.5012503473187117E-2</v>
      </c>
      <c r="E200" s="9">
        <v>33.520000000000003</v>
      </c>
      <c r="F200" s="16">
        <f t="shared" si="9"/>
        <v>2.5357995226730139E-2</v>
      </c>
      <c r="G200" s="40"/>
      <c r="J200" s="9"/>
      <c r="K200" s="9"/>
      <c r="L200" s="16"/>
    </row>
    <row r="201" spans="1:12">
      <c r="A201" s="1" t="s">
        <v>3660</v>
      </c>
      <c r="B201" s="7">
        <v>35.99</v>
      </c>
      <c r="C201" s="7">
        <v>35.619999999999997</v>
      </c>
      <c r="D201" s="16">
        <f t="shared" si="8"/>
        <v>-1.0280633509308267E-2</v>
      </c>
      <c r="E201" s="9">
        <v>33.520000000000003</v>
      </c>
      <c r="F201" s="16">
        <f t="shared" si="9"/>
        <v>6.2649164677804126E-2</v>
      </c>
      <c r="G201" s="40"/>
      <c r="J201" s="9"/>
      <c r="K201" s="9"/>
      <c r="L201" s="16"/>
    </row>
    <row r="202" spans="1:12" ht="25.5">
      <c r="A202" s="1" t="s">
        <v>3661</v>
      </c>
      <c r="B202" s="7">
        <v>35.99</v>
      </c>
      <c r="C202" s="7">
        <v>37.369999999999997</v>
      </c>
      <c r="D202" s="16">
        <f t="shared" si="8"/>
        <v>3.8343984440122131E-2</v>
      </c>
      <c r="E202" s="9">
        <v>33.520000000000003</v>
      </c>
      <c r="F202" s="16">
        <f t="shared" si="9"/>
        <v>0.11485680190930769</v>
      </c>
      <c r="G202" s="40"/>
      <c r="J202" s="9"/>
      <c r="K202" s="9"/>
      <c r="L202" s="16"/>
    </row>
    <row r="203" spans="1:12">
      <c r="A203" s="1"/>
      <c r="B203" s="7"/>
      <c r="C203" s="7"/>
      <c r="E203" s="9"/>
      <c r="F203" s="16"/>
      <c r="G203" s="40"/>
      <c r="J203" s="9"/>
      <c r="K203" s="9"/>
      <c r="L203" s="16"/>
    </row>
    <row r="204" spans="1:12" ht="51">
      <c r="A204" s="2" t="s">
        <v>3662</v>
      </c>
      <c r="B204" s="12" t="s">
        <v>3946</v>
      </c>
      <c r="C204" s="12" t="s">
        <v>3946</v>
      </c>
      <c r="D204" s="8"/>
      <c r="E204" s="44"/>
      <c r="F204" s="43"/>
      <c r="G204" s="23"/>
      <c r="H204" s="8"/>
      <c r="I204" s="8"/>
      <c r="J204" s="44"/>
      <c r="K204" s="44"/>
      <c r="L204" s="43"/>
    </row>
    <row r="205" spans="1:12">
      <c r="A205" s="1" t="s">
        <v>3663</v>
      </c>
      <c r="B205" s="7">
        <v>30.82</v>
      </c>
      <c r="C205" s="7">
        <v>30.82</v>
      </c>
      <c r="D205" s="16">
        <f>(C205-B205)/B205</f>
        <v>0</v>
      </c>
      <c r="E205" s="9"/>
      <c r="F205" s="16"/>
      <c r="G205" s="40"/>
      <c r="J205" s="9"/>
      <c r="K205" s="9"/>
      <c r="L205" s="16"/>
    </row>
    <row r="206" spans="1:12">
      <c r="A206" s="143"/>
      <c r="B206" s="143"/>
      <c r="C206" s="7"/>
      <c r="E206" s="9"/>
      <c r="F206" s="16"/>
      <c r="G206" s="40"/>
      <c r="J206" s="9"/>
      <c r="K206" s="9"/>
      <c r="L206" s="16"/>
    </row>
    <row r="207" spans="1:12" ht="38.25">
      <c r="A207" s="2" t="s">
        <v>3664</v>
      </c>
      <c r="B207" s="12" t="s">
        <v>3510</v>
      </c>
      <c r="C207" s="55" t="s">
        <v>3479</v>
      </c>
      <c r="D207" s="8"/>
      <c r="E207" s="44"/>
      <c r="F207" s="43"/>
      <c r="G207" s="23" t="s">
        <v>3983</v>
      </c>
      <c r="H207" s="43">
        <f>AVERAGE(F209:F256)</f>
        <v>-2.2204354280059478E-2</v>
      </c>
      <c r="I207" s="8"/>
      <c r="J207" s="44"/>
      <c r="K207" s="44"/>
      <c r="L207" s="43"/>
    </row>
    <row r="208" spans="1:12" ht="38.25" customHeight="1">
      <c r="A208" s="145" t="s">
        <v>3700</v>
      </c>
      <c r="B208" s="145"/>
      <c r="C208" s="13"/>
      <c r="E208" s="9"/>
      <c r="F208" s="16"/>
      <c r="G208" s="40"/>
      <c r="J208" s="9"/>
      <c r="K208" s="9"/>
      <c r="L208" s="16"/>
    </row>
    <row r="209" spans="1:12">
      <c r="A209" s="1" t="s">
        <v>3701</v>
      </c>
      <c r="B209" s="7">
        <v>35.020000000000003</v>
      </c>
      <c r="C209" s="7">
        <v>39.51</v>
      </c>
      <c r="D209" s="16">
        <f t="shared" ref="D209:D219" si="10">(C209-B209)/B209</f>
        <v>0.12821245002855494</v>
      </c>
      <c r="E209" s="9">
        <v>40.42</v>
      </c>
      <c r="F209" s="16">
        <f t="shared" ref="F209:F223" si="11">(C209-E209)/E209</f>
        <v>-2.2513607125185641E-2</v>
      </c>
      <c r="G209" s="40"/>
      <c r="J209" s="9"/>
      <c r="K209" s="9"/>
      <c r="L209" s="16"/>
    </row>
    <row r="210" spans="1:12">
      <c r="A210" s="1" t="s">
        <v>3702</v>
      </c>
      <c r="B210" s="7">
        <v>35.24</v>
      </c>
      <c r="C210" s="7">
        <v>39.51</v>
      </c>
      <c r="D210" s="16">
        <f t="shared" si="10"/>
        <v>0.12116912599318944</v>
      </c>
      <c r="E210" s="9">
        <v>40.42</v>
      </c>
      <c r="F210" s="16">
        <f t="shared" si="11"/>
        <v>-2.2513607125185641E-2</v>
      </c>
      <c r="G210" s="40"/>
      <c r="J210" s="9"/>
      <c r="K210" s="9"/>
      <c r="L210" s="16"/>
    </row>
    <row r="211" spans="1:12">
      <c r="A211" s="1" t="s">
        <v>3703</v>
      </c>
      <c r="B211" s="7">
        <v>35.450000000000003</v>
      </c>
      <c r="C211" s="7">
        <v>39.51</v>
      </c>
      <c r="D211" s="16">
        <f t="shared" si="10"/>
        <v>0.11452750352609295</v>
      </c>
      <c r="E211" s="9">
        <v>40.42</v>
      </c>
      <c r="F211" s="16">
        <f t="shared" si="11"/>
        <v>-2.2513607125185641E-2</v>
      </c>
      <c r="G211" s="40"/>
      <c r="J211" s="9"/>
      <c r="K211" s="9"/>
      <c r="L211" s="16"/>
    </row>
    <row r="212" spans="1:12">
      <c r="A212" s="1" t="s">
        <v>3704</v>
      </c>
      <c r="B212" s="7">
        <v>35.619999999999997</v>
      </c>
      <c r="C212" s="7">
        <v>39.51</v>
      </c>
      <c r="D212" s="16">
        <f t="shared" si="10"/>
        <v>0.10920830993823696</v>
      </c>
      <c r="E212" s="9">
        <v>40.42</v>
      </c>
      <c r="F212" s="16">
        <f t="shared" si="11"/>
        <v>-2.2513607125185641E-2</v>
      </c>
      <c r="G212" s="40"/>
      <c r="J212" s="9"/>
      <c r="K212" s="9"/>
      <c r="L212" s="16"/>
    </row>
    <row r="213" spans="1:12">
      <c r="A213" s="1" t="s">
        <v>3705</v>
      </c>
      <c r="B213" s="7">
        <v>36.04</v>
      </c>
      <c r="C213" s="7">
        <v>39.51</v>
      </c>
      <c r="D213" s="16">
        <f t="shared" si="10"/>
        <v>9.6281908990011073E-2</v>
      </c>
      <c r="E213" s="9">
        <v>40.42</v>
      </c>
      <c r="F213" s="16">
        <f t="shared" si="11"/>
        <v>-2.2513607125185641E-2</v>
      </c>
      <c r="G213" s="40"/>
      <c r="J213" s="9"/>
      <c r="K213" s="9"/>
      <c r="L213" s="16"/>
    </row>
    <row r="214" spans="1:12">
      <c r="A214" s="1" t="s">
        <v>3706</v>
      </c>
      <c r="B214" s="7">
        <v>37.479999999999997</v>
      </c>
      <c r="C214" s="7">
        <v>39.51</v>
      </c>
      <c r="D214" s="16">
        <f t="shared" si="10"/>
        <v>5.4162219850587015E-2</v>
      </c>
      <c r="E214" s="9">
        <v>40.42</v>
      </c>
      <c r="F214" s="16">
        <f t="shared" si="11"/>
        <v>-2.2513607125185641E-2</v>
      </c>
      <c r="G214" s="40"/>
      <c r="J214" s="9"/>
      <c r="K214" s="9"/>
      <c r="L214" s="16"/>
    </row>
    <row r="215" spans="1:12" ht="25.5">
      <c r="A215" s="1" t="s">
        <v>3707</v>
      </c>
      <c r="B215" s="7">
        <v>38.43</v>
      </c>
      <c r="C215" s="7">
        <v>39.51</v>
      </c>
      <c r="D215" s="16">
        <f t="shared" si="10"/>
        <v>2.8103044496487074E-2</v>
      </c>
      <c r="E215" s="9">
        <v>40.42</v>
      </c>
      <c r="F215" s="16">
        <f t="shared" si="11"/>
        <v>-2.2513607125185641E-2</v>
      </c>
      <c r="G215" s="40"/>
      <c r="J215" s="9"/>
      <c r="K215" s="9"/>
      <c r="L215" s="16"/>
    </row>
    <row r="216" spans="1:12" ht="25.5">
      <c r="A216" s="1" t="s">
        <v>3708</v>
      </c>
      <c r="B216" s="7">
        <v>38.9</v>
      </c>
      <c r="C216" s="7">
        <v>39.51</v>
      </c>
      <c r="D216" s="16">
        <f t="shared" si="10"/>
        <v>1.5681233933161939E-2</v>
      </c>
      <c r="E216" s="9">
        <v>40.42</v>
      </c>
      <c r="F216" s="16">
        <f t="shared" si="11"/>
        <v>-2.2513607125185641E-2</v>
      </c>
      <c r="G216" s="40"/>
      <c r="J216" s="9"/>
      <c r="K216" s="9"/>
      <c r="L216" s="16"/>
    </row>
    <row r="217" spans="1:12" ht="25.5">
      <c r="A217" s="1" t="s">
        <v>3709</v>
      </c>
      <c r="B217" s="7">
        <v>40.9</v>
      </c>
      <c r="C217" s="7">
        <v>39.51</v>
      </c>
      <c r="D217" s="16">
        <f t="shared" si="10"/>
        <v>-3.3985330073349647E-2</v>
      </c>
      <c r="E217" s="9">
        <v>40.42</v>
      </c>
      <c r="F217" s="16">
        <f t="shared" si="11"/>
        <v>-2.2513607125185641E-2</v>
      </c>
      <c r="G217" s="40"/>
      <c r="J217" s="9"/>
      <c r="K217" s="9"/>
      <c r="L217" s="16"/>
    </row>
    <row r="218" spans="1:12" ht="25.5">
      <c r="A218" s="1" t="s">
        <v>3710</v>
      </c>
      <c r="B218" s="7">
        <v>43.9</v>
      </c>
      <c r="C218" s="7">
        <v>39.51</v>
      </c>
      <c r="D218" s="16">
        <f t="shared" si="10"/>
        <v>-0.10000000000000002</v>
      </c>
      <c r="E218" s="9">
        <v>40.42</v>
      </c>
      <c r="F218" s="16">
        <f t="shared" si="11"/>
        <v>-2.2513607125185641E-2</v>
      </c>
      <c r="G218" s="40"/>
      <c r="J218" s="9"/>
      <c r="K218" s="9"/>
      <c r="L218" s="16"/>
    </row>
    <row r="219" spans="1:12">
      <c r="A219" s="1" t="s">
        <v>3711</v>
      </c>
      <c r="B219" s="7">
        <v>45.4</v>
      </c>
      <c r="C219" s="7">
        <v>39.51</v>
      </c>
      <c r="D219" s="16">
        <f t="shared" si="10"/>
        <v>-0.12973568281938327</v>
      </c>
      <c r="E219" s="9">
        <v>40.42</v>
      </c>
      <c r="F219" s="16">
        <f t="shared" si="11"/>
        <v>-2.2513607125185641E-2</v>
      </c>
      <c r="G219" s="40"/>
      <c r="J219" s="9"/>
      <c r="K219" s="9"/>
      <c r="L219" s="16"/>
    </row>
    <row r="220" spans="1:12">
      <c r="A220" s="6" t="s">
        <v>3712</v>
      </c>
      <c r="B220" s="7"/>
      <c r="C220" s="7"/>
      <c r="E220" s="9"/>
      <c r="F220" s="16"/>
      <c r="G220" s="40"/>
      <c r="J220" s="9"/>
      <c r="K220" s="9"/>
      <c r="L220" s="16"/>
    </row>
    <row r="221" spans="1:12">
      <c r="A221" s="1" t="s">
        <v>3713</v>
      </c>
      <c r="B221" s="7">
        <v>35.450000000000003</v>
      </c>
      <c r="C221" s="7">
        <v>39.51</v>
      </c>
      <c r="D221" s="16">
        <f>(C221-B221)/B221</f>
        <v>0.11452750352609295</v>
      </c>
      <c r="E221" s="9">
        <v>40.42</v>
      </c>
      <c r="F221" s="16">
        <f t="shared" si="11"/>
        <v>-2.2513607125185641E-2</v>
      </c>
      <c r="G221" s="40"/>
      <c r="J221" s="9"/>
      <c r="K221" s="9"/>
      <c r="L221" s="16"/>
    </row>
    <row r="222" spans="1:12">
      <c r="A222" s="1" t="s">
        <v>3714</v>
      </c>
      <c r="B222" s="7">
        <v>35.56</v>
      </c>
      <c r="C222" s="7">
        <v>39.51</v>
      </c>
      <c r="D222" s="16">
        <f>(C222-B222)/B222</f>
        <v>0.11107986501687277</v>
      </c>
      <c r="E222" s="9">
        <v>40.42</v>
      </c>
      <c r="F222" s="16">
        <f t="shared" si="11"/>
        <v>-2.2513607125185641E-2</v>
      </c>
      <c r="G222" s="40"/>
      <c r="J222" s="9"/>
      <c r="K222" s="9"/>
      <c r="L222" s="16"/>
    </row>
    <row r="223" spans="1:12">
      <c r="A223" s="1" t="s">
        <v>3715</v>
      </c>
      <c r="B223" s="7">
        <v>35.78</v>
      </c>
      <c r="C223" s="7">
        <v>39.51</v>
      </c>
      <c r="D223" s="16">
        <f>(C223-B223)/B223</f>
        <v>0.10424818334264943</v>
      </c>
      <c r="E223" s="9">
        <v>40.42</v>
      </c>
      <c r="F223" s="16">
        <f t="shared" si="11"/>
        <v>-2.2513607125185641E-2</v>
      </c>
      <c r="G223" s="40"/>
      <c r="J223" s="9"/>
      <c r="K223" s="9"/>
      <c r="L223" s="16"/>
    </row>
    <row r="224" spans="1:12">
      <c r="A224" s="6" t="s">
        <v>3716</v>
      </c>
      <c r="B224" s="7"/>
      <c r="C224" s="7"/>
      <c r="E224" s="9"/>
      <c r="F224" s="16"/>
      <c r="G224" s="40"/>
      <c r="J224" s="9"/>
      <c r="K224" s="9"/>
      <c r="L224" s="16"/>
    </row>
    <row r="225" spans="1:12" ht="25.5">
      <c r="A225" s="1" t="s">
        <v>3717</v>
      </c>
      <c r="B225" s="7"/>
      <c r="C225" s="7"/>
      <c r="E225" s="9"/>
      <c r="F225" s="16"/>
      <c r="G225" s="40"/>
      <c r="J225" s="9"/>
      <c r="K225" s="9"/>
      <c r="L225" s="16"/>
    </row>
    <row r="226" spans="1:12" ht="25.5">
      <c r="A226" s="1" t="s">
        <v>3718</v>
      </c>
      <c r="B226" s="7"/>
      <c r="C226" s="7"/>
      <c r="E226" s="9"/>
      <c r="F226" s="16"/>
      <c r="G226" s="40"/>
      <c r="J226" s="9"/>
      <c r="K226" s="9"/>
      <c r="L226" s="16"/>
    </row>
    <row r="227" spans="1:12">
      <c r="A227" s="1" t="s">
        <v>3719</v>
      </c>
      <c r="B227" s="7"/>
      <c r="C227" s="7"/>
      <c r="E227" s="9"/>
      <c r="F227" s="16"/>
      <c r="G227" s="40"/>
      <c r="J227" s="9"/>
      <c r="K227" s="9"/>
      <c r="L227" s="16"/>
    </row>
    <row r="228" spans="1:12">
      <c r="A228" s="6" t="s">
        <v>3720</v>
      </c>
      <c r="B228" s="7"/>
      <c r="C228" s="7"/>
      <c r="E228" s="9"/>
      <c r="F228" s="16"/>
      <c r="G228" s="40"/>
      <c r="J228" s="9"/>
      <c r="K228" s="9"/>
      <c r="L228" s="16"/>
    </row>
    <row r="229" spans="1:12">
      <c r="A229" s="1" t="s">
        <v>3721</v>
      </c>
      <c r="B229" s="7">
        <v>35.43</v>
      </c>
      <c r="C229" s="7">
        <v>39.51</v>
      </c>
      <c r="D229" s="16">
        <f t="shared" ref="D229:D256" si="12">(C229-B229)/B229</f>
        <v>0.11515664690939877</v>
      </c>
      <c r="E229" s="9">
        <v>40.42</v>
      </c>
      <c r="F229" s="16">
        <f t="shared" ref="F229:F256" si="13">(C229-E229)/E229</f>
        <v>-2.2513607125185641E-2</v>
      </c>
      <c r="G229" s="40"/>
      <c r="J229" s="9"/>
      <c r="K229" s="9"/>
      <c r="L229" s="16"/>
    </row>
    <row r="230" spans="1:12">
      <c r="A230" s="1" t="s">
        <v>3722</v>
      </c>
      <c r="B230" s="7">
        <v>35.450000000000003</v>
      </c>
      <c r="C230" s="7">
        <v>39.51</v>
      </c>
      <c r="D230" s="16">
        <f t="shared" si="12"/>
        <v>0.11452750352609295</v>
      </c>
      <c r="E230" s="9">
        <v>40.42</v>
      </c>
      <c r="F230" s="16">
        <f t="shared" si="13"/>
        <v>-2.2513607125185641E-2</v>
      </c>
      <c r="G230" s="40"/>
      <c r="J230" s="9"/>
      <c r="K230" s="9"/>
      <c r="L230" s="16"/>
    </row>
    <row r="231" spans="1:12" ht="102">
      <c r="A231" s="1" t="s">
        <v>3723</v>
      </c>
      <c r="B231" s="7">
        <v>35.729999999999997</v>
      </c>
      <c r="C231" s="7">
        <v>39.51</v>
      </c>
      <c r="D231" s="16">
        <f t="shared" si="12"/>
        <v>0.10579345088161213</v>
      </c>
      <c r="E231" s="9">
        <v>40.42</v>
      </c>
      <c r="F231" s="16">
        <f t="shared" si="13"/>
        <v>-2.2513607125185641E-2</v>
      </c>
      <c r="G231" s="40"/>
      <c r="J231" s="9"/>
      <c r="K231" s="9"/>
      <c r="L231" s="16"/>
    </row>
    <row r="232" spans="1:12">
      <c r="A232" s="1" t="s">
        <v>3724</v>
      </c>
      <c r="B232" s="7">
        <v>35.619999999999997</v>
      </c>
      <c r="C232" s="7">
        <v>39.51</v>
      </c>
      <c r="D232" s="16">
        <f t="shared" si="12"/>
        <v>0.10920830993823696</v>
      </c>
      <c r="E232" s="9">
        <v>40.42</v>
      </c>
      <c r="F232" s="16">
        <f t="shared" si="13"/>
        <v>-2.2513607125185641E-2</v>
      </c>
      <c r="G232" s="40"/>
      <c r="J232" s="9"/>
      <c r="K232" s="9"/>
      <c r="L232" s="16"/>
    </row>
    <row r="233" spans="1:12" ht="25.5">
      <c r="A233" s="1" t="s">
        <v>3725</v>
      </c>
      <c r="B233" s="7">
        <v>35.619999999999997</v>
      </c>
      <c r="C233" s="7">
        <v>39.51</v>
      </c>
      <c r="D233" s="16">
        <f t="shared" si="12"/>
        <v>0.10920830993823696</v>
      </c>
      <c r="E233" s="9">
        <v>40.42</v>
      </c>
      <c r="F233" s="16">
        <f t="shared" si="13"/>
        <v>-2.2513607125185641E-2</v>
      </c>
      <c r="G233" s="40"/>
      <c r="J233" s="9"/>
      <c r="K233" s="9"/>
      <c r="L233" s="16"/>
    </row>
    <row r="234" spans="1:12">
      <c r="A234" s="1" t="s">
        <v>3726</v>
      </c>
      <c r="B234" s="7">
        <v>35.619999999999997</v>
      </c>
      <c r="C234" s="7">
        <v>39.51</v>
      </c>
      <c r="D234" s="16">
        <f t="shared" si="12"/>
        <v>0.10920830993823696</v>
      </c>
      <c r="E234" s="9">
        <v>40.42</v>
      </c>
      <c r="F234" s="16">
        <f t="shared" si="13"/>
        <v>-2.2513607125185641E-2</v>
      </c>
      <c r="G234" s="40"/>
      <c r="J234" s="9"/>
      <c r="K234" s="9"/>
      <c r="L234" s="16"/>
    </row>
    <row r="235" spans="1:12" ht="25.5">
      <c r="A235" s="1" t="s">
        <v>3727</v>
      </c>
      <c r="B235" s="7">
        <v>35.51</v>
      </c>
      <c r="C235" s="7">
        <v>39.51</v>
      </c>
      <c r="D235" s="16">
        <f t="shared" si="12"/>
        <v>0.11264432554210083</v>
      </c>
      <c r="E235" s="9">
        <v>40.42</v>
      </c>
      <c r="F235" s="16">
        <f t="shared" si="13"/>
        <v>-2.2513607125185641E-2</v>
      </c>
      <c r="G235" s="40"/>
      <c r="J235" s="9"/>
      <c r="K235" s="9"/>
      <c r="L235" s="16"/>
    </row>
    <row r="236" spans="1:12">
      <c r="A236" s="1" t="s">
        <v>3728</v>
      </c>
      <c r="B236" s="7">
        <v>33.340000000000003</v>
      </c>
      <c r="C236" s="7">
        <v>39.51</v>
      </c>
      <c r="D236" s="16">
        <f t="shared" si="12"/>
        <v>0.18506298740251931</v>
      </c>
      <c r="E236" s="9">
        <v>40.42</v>
      </c>
      <c r="F236" s="16">
        <f t="shared" si="13"/>
        <v>-2.2513607125185641E-2</v>
      </c>
      <c r="G236" s="40"/>
      <c r="J236" s="9"/>
      <c r="K236" s="9"/>
      <c r="L236" s="16"/>
    </row>
    <row r="237" spans="1:12">
      <c r="A237" s="6" t="s">
        <v>3729</v>
      </c>
      <c r="B237" s="7"/>
      <c r="C237" s="7"/>
      <c r="D237" s="16"/>
      <c r="E237" s="9"/>
      <c r="F237" s="16"/>
      <c r="G237" s="40"/>
      <c r="J237" s="9"/>
      <c r="K237" s="9"/>
      <c r="L237" s="16"/>
    </row>
    <row r="238" spans="1:12">
      <c r="A238" s="1" t="s">
        <v>3730</v>
      </c>
      <c r="B238" s="7">
        <v>35.07</v>
      </c>
      <c r="C238" s="7">
        <v>39.51</v>
      </c>
      <c r="D238" s="16">
        <f t="shared" si="12"/>
        <v>0.12660393498716846</v>
      </c>
      <c r="E238" s="9">
        <v>40.42</v>
      </c>
      <c r="F238" s="16">
        <f t="shared" si="13"/>
        <v>-2.2513607125185641E-2</v>
      </c>
      <c r="G238" s="40"/>
      <c r="J238" s="9"/>
      <c r="K238" s="9"/>
      <c r="L238" s="16"/>
    </row>
    <row r="239" spans="1:12">
      <c r="A239" s="1" t="s">
        <v>3731</v>
      </c>
      <c r="B239" s="7">
        <v>35.18</v>
      </c>
      <c r="C239" s="7">
        <v>39.51</v>
      </c>
      <c r="D239" s="16">
        <f t="shared" si="12"/>
        <v>0.12308129619101757</v>
      </c>
      <c r="E239" s="9">
        <v>40.42</v>
      </c>
      <c r="F239" s="16">
        <f t="shared" si="13"/>
        <v>-2.2513607125185641E-2</v>
      </c>
      <c r="G239" s="40"/>
      <c r="J239" s="9"/>
      <c r="K239" s="9"/>
      <c r="L239" s="16"/>
    </row>
    <row r="240" spans="1:12" ht="25.5">
      <c r="A240" s="1" t="s">
        <v>3732</v>
      </c>
      <c r="B240" s="7">
        <v>49.66</v>
      </c>
      <c r="C240" s="7">
        <v>39.51</v>
      </c>
      <c r="D240" s="16">
        <f t="shared" si="12"/>
        <v>-0.20438985098670961</v>
      </c>
      <c r="E240" s="9">
        <v>40.42</v>
      </c>
      <c r="F240" s="16">
        <f t="shared" si="13"/>
        <v>-2.2513607125185641E-2</v>
      </c>
      <c r="G240" s="40"/>
      <c r="J240" s="9"/>
      <c r="K240" s="9"/>
      <c r="L240" s="16"/>
    </row>
    <row r="241" spans="1:12">
      <c r="A241" s="1" t="s">
        <v>3733</v>
      </c>
      <c r="B241" s="7">
        <v>35.29</v>
      </c>
      <c r="C241" s="7">
        <v>39.51</v>
      </c>
      <c r="D241" s="16">
        <f t="shared" si="12"/>
        <v>0.11958061773873616</v>
      </c>
      <c r="E241" s="9">
        <v>40.42</v>
      </c>
      <c r="F241" s="16">
        <f t="shared" si="13"/>
        <v>-2.2513607125185641E-2</v>
      </c>
      <c r="G241" s="40"/>
      <c r="J241" s="9"/>
      <c r="K241" s="9"/>
      <c r="L241" s="16"/>
    </row>
    <row r="242" spans="1:12">
      <c r="A242" s="6" t="s">
        <v>3734</v>
      </c>
      <c r="B242" s="7"/>
      <c r="C242" s="7"/>
      <c r="D242" s="16"/>
      <c r="E242" s="9"/>
      <c r="F242" s="16"/>
      <c r="G242" s="40"/>
      <c r="J242" s="9"/>
      <c r="K242" s="9"/>
      <c r="L242" s="16"/>
    </row>
    <row r="243" spans="1:12">
      <c r="A243" s="1" t="s">
        <v>3735</v>
      </c>
      <c r="B243" s="7">
        <v>35.18</v>
      </c>
      <c r="C243" s="7">
        <v>39.51</v>
      </c>
      <c r="D243" s="16">
        <f t="shared" si="12"/>
        <v>0.12308129619101757</v>
      </c>
      <c r="E243" s="9">
        <v>40.42</v>
      </c>
      <c r="F243" s="16">
        <f t="shared" si="13"/>
        <v>-2.2513607125185641E-2</v>
      </c>
      <c r="G243" s="40"/>
      <c r="J243" s="9"/>
      <c r="K243" s="9"/>
      <c r="L243" s="16"/>
    </row>
    <row r="244" spans="1:12">
      <c r="A244" s="1" t="s">
        <v>3736</v>
      </c>
      <c r="B244" s="7">
        <v>35.29</v>
      </c>
      <c r="C244" s="7">
        <v>39.51</v>
      </c>
      <c r="D244" s="16">
        <f t="shared" si="12"/>
        <v>0.11958061773873616</v>
      </c>
      <c r="E244" s="9">
        <v>40.42</v>
      </c>
      <c r="F244" s="16">
        <f t="shared" si="13"/>
        <v>-2.2513607125185641E-2</v>
      </c>
      <c r="G244" s="40"/>
      <c r="J244" s="9"/>
      <c r="K244" s="9"/>
      <c r="L244" s="16"/>
    </row>
    <row r="245" spans="1:12">
      <c r="A245" s="1" t="s">
        <v>3737</v>
      </c>
      <c r="B245" s="7">
        <v>35.130000000000003</v>
      </c>
      <c r="C245" s="7">
        <v>39.51</v>
      </c>
      <c r="D245" s="16">
        <f t="shared" si="12"/>
        <v>0.12467976088812967</v>
      </c>
      <c r="E245" s="9">
        <v>40.42</v>
      </c>
      <c r="F245" s="16">
        <f t="shared" si="13"/>
        <v>-2.2513607125185641E-2</v>
      </c>
      <c r="G245" s="40"/>
      <c r="J245" s="9"/>
      <c r="K245" s="9"/>
      <c r="L245" s="16"/>
    </row>
    <row r="246" spans="1:12">
      <c r="A246" s="1" t="s">
        <v>3738</v>
      </c>
      <c r="B246" s="7">
        <v>35.24</v>
      </c>
      <c r="C246" s="7">
        <v>39.51</v>
      </c>
      <c r="D246" s="16">
        <f t="shared" si="12"/>
        <v>0.12116912599318944</v>
      </c>
      <c r="E246" s="9">
        <v>40.42</v>
      </c>
      <c r="F246" s="16">
        <f t="shared" si="13"/>
        <v>-2.2513607125185641E-2</v>
      </c>
      <c r="G246" s="40"/>
      <c r="J246" s="9"/>
      <c r="K246" s="9"/>
      <c r="L246" s="16"/>
    </row>
    <row r="247" spans="1:12">
      <c r="A247" s="1" t="s">
        <v>3739</v>
      </c>
      <c r="B247" s="7">
        <v>35.450000000000003</v>
      </c>
      <c r="C247" s="7">
        <v>39.51</v>
      </c>
      <c r="D247" s="16">
        <f t="shared" si="12"/>
        <v>0.11452750352609295</v>
      </c>
      <c r="E247" s="9">
        <v>40.42</v>
      </c>
      <c r="F247" s="16">
        <f t="shared" si="13"/>
        <v>-2.2513607125185641E-2</v>
      </c>
      <c r="G247" s="40"/>
      <c r="J247" s="9"/>
      <c r="K247" s="9"/>
      <c r="L247" s="16"/>
    </row>
    <row r="248" spans="1:12">
      <c r="A248" s="1" t="s">
        <v>3740</v>
      </c>
      <c r="B248" s="7">
        <v>35.78</v>
      </c>
      <c r="C248" s="7">
        <v>39.51</v>
      </c>
      <c r="D248" s="16">
        <f t="shared" si="12"/>
        <v>0.10424818334264943</v>
      </c>
      <c r="E248" s="9">
        <v>40.42</v>
      </c>
      <c r="F248" s="16">
        <f t="shared" si="13"/>
        <v>-2.2513607125185641E-2</v>
      </c>
      <c r="G248" s="40"/>
      <c r="J248" s="9"/>
      <c r="K248" s="9"/>
      <c r="L248" s="16"/>
    </row>
    <row r="249" spans="1:12">
      <c r="A249" s="1" t="s">
        <v>3741</v>
      </c>
      <c r="B249" s="7">
        <v>33.14</v>
      </c>
      <c r="C249" s="7">
        <v>39.51</v>
      </c>
      <c r="D249" s="16">
        <f t="shared" si="12"/>
        <v>0.19221484610742298</v>
      </c>
      <c r="E249" s="9">
        <v>40.42</v>
      </c>
      <c r="F249" s="16">
        <f t="shared" si="13"/>
        <v>-2.2513607125185641E-2</v>
      </c>
      <c r="G249" s="40"/>
      <c r="J249" s="9"/>
      <c r="K249" s="9"/>
      <c r="L249" s="16"/>
    </row>
    <row r="250" spans="1:12" ht="25.5">
      <c r="A250" s="1" t="s">
        <v>3742</v>
      </c>
      <c r="B250" s="7">
        <v>35.130000000000003</v>
      </c>
      <c r="C250" s="7">
        <v>39.51</v>
      </c>
      <c r="D250" s="16">
        <f t="shared" si="12"/>
        <v>0.12467976088812967</v>
      </c>
      <c r="E250" s="9">
        <v>40.42</v>
      </c>
      <c r="F250" s="16">
        <f t="shared" si="13"/>
        <v>-2.2513607125185641E-2</v>
      </c>
      <c r="G250" s="40"/>
      <c r="J250" s="9"/>
      <c r="K250" s="9"/>
      <c r="L250" s="16"/>
    </row>
    <row r="251" spans="1:12">
      <c r="A251" s="1" t="s">
        <v>3743</v>
      </c>
      <c r="B251" s="7">
        <v>35.18</v>
      </c>
      <c r="C251" s="7">
        <v>39.51</v>
      </c>
      <c r="D251" s="16">
        <f t="shared" si="12"/>
        <v>0.12308129619101757</v>
      </c>
      <c r="E251" s="9">
        <v>40.42</v>
      </c>
      <c r="F251" s="16">
        <f t="shared" si="13"/>
        <v>-2.2513607125185641E-2</v>
      </c>
      <c r="G251" s="40"/>
      <c r="J251" s="9"/>
      <c r="K251" s="9"/>
      <c r="L251" s="16"/>
    </row>
    <row r="252" spans="1:12">
      <c r="A252" s="1" t="s">
        <v>3744</v>
      </c>
      <c r="B252" s="7">
        <v>35.18</v>
      </c>
      <c r="C252" s="7">
        <v>39.51</v>
      </c>
      <c r="D252" s="16">
        <f t="shared" si="12"/>
        <v>0.12308129619101757</v>
      </c>
      <c r="E252" s="9">
        <v>40.42</v>
      </c>
      <c r="F252" s="16">
        <f t="shared" si="13"/>
        <v>-2.2513607125185641E-2</v>
      </c>
      <c r="G252" s="40"/>
      <c r="J252" s="9"/>
      <c r="K252" s="9"/>
      <c r="L252" s="16"/>
    </row>
    <row r="253" spans="1:12">
      <c r="A253" s="1" t="s">
        <v>3745</v>
      </c>
      <c r="B253" s="7">
        <v>35.18</v>
      </c>
      <c r="C253" s="7">
        <v>39.51</v>
      </c>
      <c r="D253" s="16">
        <f t="shared" si="12"/>
        <v>0.12308129619101757</v>
      </c>
      <c r="E253" s="9">
        <v>40.42</v>
      </c>
      <c r="F253" s="16">
        <f t="shared" si="13"/>
        <v>-2.2513607125185641E-2</v>
      </c>
      <c r="G253" s="40"/>
      <c r="J253" s="9"/>
      <c r="K253" s="9"/>
      <c r="L253" s="16"/>
    </row>
    <row r="254" spans="1:12">
      <c r="A254" s="1" t="s">
        <v>3746</v>
      </c>
      <c r="B254" s="7">
        <v>35.619999999999997</v>
      </c>
      <c r="C254" s="7">
        <v>39.51</v>
      </c>
      <c r="D254" s="16">
        <f t="shared" si="12"/>
        <v>0.10920830993823696</v>
      </c>
      <c r="E254" s="9">
        <v>40.42</v>
      </c>
      <c r="F254" s="16">
        <f t="shared" si="13"/>
        <v>-2.2513607125185641E-2</v>
      </c>
      <c r="G254" s="40"/>
      <c r="J254" s="9"/>
      <c r="K254" s="9"/>
      <c r="L254" s="16"/>
    </row>
    <row r="255" spans="1:12">
      <c r="A255" s="1" t="s">
        <v>3747</v>
      </c>
      <c r="B255" s="7">
        <v>36.04</v>
      </c>
      <c r="C255" s="7">
        <v>39.51</v>
      </c>
      <c r="D255" s="16">
        <f t="shared" si="12"/>
        <v>9.6281908990011073E-2</v>
      </c>
      <c r="E255" s="9">
        <v>40.42</v>
      </c>
      <c r="F255" s="16">
        <f t="shared" si="13"/>
        <v>-2.2513607125185641E-2</v>
      </c>
      <c r="G255" s="40"/>
      <c r="J255" s="9"/>
      <c r="K255" s="9"/>
      <c r="L255" s="16"/>
    </row>
    <row r="256" spans="1:12">
      <c r="A256" s="2" t="s">
        <v>3748</v>
      </c>
      <c r="B256" s="10">
        <f>B255+0.5</f>
        <v>36.54</v>
      </c>
      <c r="C256" s="10">
        <f>C255+0.5</f>
        <v>40.01</v>
      </c>
      <c r="D256" s="16">
        <f t="shared" si="12"/>
        <v>9.4964422550629424E-2</v>
      </c>
      <c r="E256" s="9">
        <v>40.42</v>
      </c>
      <c r="F256" s="16">
        <f t="shared" si="13"/>
        <v>-1.0143493320138636E-2</v>
      </c>
      <c r="G256" s="40"/>
      <c r="J256" s="9"/>
      <c r="K256" s="9"/>
      <c r="L256" s="16"/>
    </row>
    <row r="257" spans="1:12">
      <c r="A257" s="1"/>
      <c r="B257" s="7"/>
      <c r="C257" s="7"/>
      <c r="E257" s="9"/>
      <c r="F257" s="16"/>
      <c r="G257" s="40"/>
      <c r="J257" s="9"/>
      <c r="K257" s="9"/>
      <c r="L257" s="16"/>
    </row>
    <row r="258" spans="1:12">
      <c r="A258" s="2" t="s">
        <v>3666</v>
      </c>
      <c r="B258" s="7"/>
      <c r="C258" s="31"/>
      <c r="D258" s="8"/>
      <c r="E258" s="44"/>
      <c r="F258" s="43"/>
      <c r="G258" s="23" t="s">
        <v>3984</v>
      </c>
      <c r="H258" s="8"/>
      <c r="I258" s="43">
        <f>AVERAGE(F259:F262)</f>
        <v>1.0781383432963258E-2</v>
      </c>
      <c r="J258" s="44"/>
      <c r="K258" s="44"/>
      <c r="L258" s="43"/>
    </row>
    <row r="259" spans="1:12">
      <c r="A259" s="1" t="s">
        <v>3667</v>
      </c>
      <c r="B259" s="7">
        <v>21.41</v>
      </c>
      <c r="C259" s="7">
        <v>22.8</v>
      </c>
      <c r="D259" s="16">
        <f>(C259-B259)/B259</f>
        <v>6.4922933208780967E-2</v>
      </c>
      <c r="E259" s="9">
        <v>22.8</v>
      </c>
      <c r="F259" s="16">
        <f>(C259-E259)/E259</f>
        <v>0</v>
      </c>
      <c r="G259" s="40"/>
      <c r="J259" s="9"/>
      <c r="K259" s="9"/>
      <c r="L259" s="16"/>
    </row>
    <row r="260" spans="1:12">
      <c r="A260" s="1"/>
      <c r="B260" s="7"/>
      <c r="C260" s="7"/>
      <c r="E260" s="9"/>
      <c r="F260" s="16"/>
      <c r="G260" s="40"/>
      <c r="J260" s="9"/>
      <c r="K260" s="9"/>
      <c r="L260" s="16"/>
    </row>
    <row r="261" spans="1:12" ht="63.75">
      <c r="A261" s="2" t="s">
        <v>3668</v>
      </c>
      <c r="B261" s="12" t="s">
        <v>3649</v>
      </c>
      <c r="C261" s="12" t="s">
        <v>3649</v>
      </c>
      <c r="D261" s="8"/>
      <c r="E261" s="44"/>
      <c r="F261" s="43"/>
      <c r="G261" s="23" t="s">
        <v>3983</v>
      </c>
      <c r="H261" s="43">
        <f>AVERAGE(F262)</f>
        <v>2.1562766865926515E-2</v>
      </c>
      <c r="I261" s="8"/>
      <c r="J261" s="44"/>
      <c r="K261" s="44"/>
      <c r="L261" s="43"/>
    </row>
    <row r="262" spans="1:12" ht="25.5">
      <c r="A262" s="1" t="s">
        <v>3670</v>
      </c>
      <c r="B262" s="7">
        <v>46.1</v>
      </c>
      <c r="C262" s="7">
        <v>47.85</v>
      </c>
      <c r="D262" s="16">
        <f>(C262-B262)/B262</f>
        <v>3.7960954446854663E-2</v>
      </c>
      <c r="E262" s="9">
        <v>46.84</v>
      </c>
      <c r="F262" s="16">
        <f>(C262-E262)/E262</f>
        <v>2.1562766865926515E-2</v>
      </c>
      <c r="G262" s="40"/>
      <c r="J262" s="9"/>
      <c r="K262" s="9"/>
      <c r="L262" s="16"/>
    </row>
    <row r="263" spans="1:12">
      <c r="A263" s="1"/>
      <c r="B263" s="7"/>
      <c r="C263" s="7"/>
      <c r="E263" s="9"/>
      <c r="F263" s="16"/>
      <c r="G263" s="40"/>
      <c r="J263" s="9"/>
      <c r="K263" s="9"/>
      <c r="L263" s="16"/>
    </row>
    <row r="264" spans="1:12">
      <c r="A264" s="2" t="s">
        <v>3671</v>
      </c>
      <c r="B264" s="7"/>
      <c r="C264" s="31" t="s">
        <v>3487</v>
      </c>
      <c r="D264" s="8"/>
      <c r="E264" s="44"/>
      <c r="F264" s="43"/>
      <c r="G264" s="23" t="s">
        <v>3983</v>
      </c>
      <c r="H264" s="43">
        <f>AVERAGE(F265)</f>
        <v>-2.9934847684451788E-3</v>
      </c>
      <c r="I264" s="8"/>
      <c r="J264" s="44"/>
      <c r="K264" s="44"/>
      <c r="L264" s="43"/>
    </row>
    <row r="265" spans="1:12">
      <c r="A265" s="1" t="s">
        <v>3672</v>
      </c>
      <c r="B265" s="7">
        <v>44.65</v>
      </c>
      <c r="C265" s="7">
        <v>56.62</v>
      </c>
      <c r="D265" s="16">
        <f>(C265-B265)/B265</f>
        <v>0.26808510638297872</v>
      </c>
      <c r="E265" s="9">
        <v>56.79</v>
      </c>
      <c r="F265" s="16">
        <f>(C265-E265)/E265</f>
        <v>-2.9934847684451788E-3</v>
      </c>
      <c r="G265" s="40"/>
      <c r="J265" s="9"/>
      <c r="K265" s="9"/>
      <c r="L265" s="16"/>
    </row>
    <row r="266" spans="1:12">
      <c r="A266" s="1"/>
      <c r="B266" s="7"/>
      <c r="C266" s="7"/>
      <c r="E266" s="9"/>
      <c r="F266" s="16"/>
      <c r="G266" s="40"/>
      <c r="J266" s="9"/>
      <c r="K266" s="9"/>
      <c r="L266" s="16"/>
    </row>
    <row r="267" spans="1:12">
      <c r="A267" s="2" t="s">
        <v>3673</v>
      </c>
      <c r="B267" s="7"/>
      <c r="C267" s="31" t="s">
        <v>3487</v>
      </c>
      <c r="D267" s="8"/>
      <c r="E267" s="44"/>
      <c r="F267" s="43"/>
      <c r="G267" s="23"/>
      <c r="H267" s="43">
        <f>AVERAGE(F268)</f>
        <v>-2.9934847684451788E-3</v>
      </c>
      <c r="I267" s="8"/>
      <c r="J267" s="44"/>
      <c r="K267" s="44"/>
      <c r="L267" s="43"/>
    </row>
    <row r="268" spans="1:12">
      <c r="A268" s="1" t="s">
        <v>3674</v>
      </c>
      <c r="B268" s="7">
        <v>44.65</v>
      </c>
      <c r="C268" s="7">
        <v>56.62</v>
      </c>
      <c r="D268" s="16">
        <f>(C268-B268)/B268</f>
        <v>0.26808510638297872</v>
      </c>
      <c r="E268" s="9">
        <v>56.79</v>
      </c>
      <c r="F268" s="16">
        <f>(C268-E268)/E268</f>
        <v>-2.9934847684451788E-3</v>
      </c>
      <c r="G268" s="40"/>
      <c r="J268" s="9"/>
      <c r="K268" s="9"/>
      <c r="L268" s="16"/>
    </row>
    <row r="270" spans="1:12">
      <c r="A270" s="8" t="s">
        <v>3988</v>
      </c>
      <c r="B270" s="7"/>
      <c r="D270" s="16"/>
      <c r="E270" s="9"/>
      <c r="F270" s="16"/>
      <c r="G270" s="40"/>
    </row>
    <row r="271" spans="1:12">
      <c r="A271" s="1" t="s">
        <v>3986</v>
      </c>
      <c r="B271" s="7"/>
      <c r="D271" s="16"/>
      <c r="E271" s="9"/>
      <c r="F271" s="16"/>
      <c r="G271" s="40">
        <f>COUNTIF(G4:G268,"Y")</f>
        <v>29</v>
      </c>
    </row>
    <row r="272" spans="1:12">
      <c r="A272" s="1" t="s">
        <v>3987</v>
      </c>
      <c r="B272" s="7"/>
      <c r="D272" s="16"/>
      <c r="E272" s="9"/>
      <c r="F272" s="16"/>
      <c r="G272" s="41">
        <f>COUNTIF(G5:G269,"N")</f>
        <v>9</v>
      </c>
    </row>
    <row r="273" spans="1:7">
      <c r="A273" s="8" t="s">
        <v>3985</v>
      </c>
      <c r="B273"/>
      <c r="E273" s="9"/>
      <c r="F273" s="16"/>
      <c r="G273" s="23">
        <f>SUM(G271:G272)</f>
        <v>38</v>
      </c>
    </row>
  </sheetData>
  <mergeCells count="23">
    <mergeCell ref="A150:B150"/>
    <mergeCell ref="A151:B151"/>
    <mergeCell ref="A161:B161"/>
    <mergeCell ref="A208:B208"/>
    <mergeCell ref="A162:B162"/>
    <mergeCell ref="A165:B165"/>
    <mergeCell ref="A206:B206"/>
    <mergeCell ref="C131:C132"/>
    <mergeCell ref="A25:B25"/>
    <mergeCell ref="A26:B26"/>
    <mergeCell ref="A64:B64"/>
    <mergeCell ref="A68:B68"/>
    <mergeCell ref="A78:B78"/>
    <mergeCell ref="A81:B81"/>
    <mergeCell ref="A86:B86"/>
    <mergeCell ref="A92:B92"/>
    <mergeCell ref="B93:B94"/>
    <mergeCell ref="A113:B113"/>
    <mergeCell ref="B114:B115"/>
    <mergeCell ref="C93:C94"/>
    <mergeCell ref="C114:C115"/>
    <mergeCell ref="A130:B130"/>
    <mergeCell ref="B131:B132"/>
  </mergeCells>
  <phoneticPr fontId="2" type="noConversion"/>
  <hyperlinks>
    <hyperlink ref="A1" r:id="rId1" display="http://www.laborcommissioner.com/10rates/humboldt.html"/>
    <hyperlink ref="B4" location="SHEET" display="SHEET"/>
    <hyperlink ref="B17" location="BRICK ZONE 07" display="BRICK ZONE 07"/>
    <hyperlink ref="B20" location="Carp" display="Carp"/>
    <hyperlink ref="B49" location="LABORER ZONE" display="LABORER ZONE"/>
    <hyperlink ref="B52" location="LABORER ZONE" display="LABORER ZONE"/>
    <hyperlink ref="B62" location="LABORER ZONE" display="LABORER ZONE"/>
    <hyperlink ref="B65" location="Hod Brick Zone" display="Hod Brick Zone"/>
    <hyperlink ref="B69" location="Hod Plaster Zone" display="Hod Plaster Zone"/>
    <hyperlink ref="B74" r:id="rId2" display="http://www.laborcommissioner.com/10rates/2010 Amendments/2010Amendment1.htm"/>
    <hyperlink ref="B79" location="LABORER ZONE" display="LABORER ZONE"/>
    <hyperlink ref="B82" r:id="rId3" display="http://www.laborcommissioner.com/10rates/2010 Amendments/2010Amendment2.htm"/>
    <hyperlink ref="A94" location="OP GROUPS" display="OP GROUPS"/>
    <hyperlink ref="B93" location="OP ZONE" display="OP ZONE"/>
    <hyperlink ref="A115" location="OP GROUP  STEEL" display="OP GROUP  STEEL"/>
    <hyperlink ref="B114" location="OP ZONE" display="OP ZONE"/>
    <hyperlink ref="A132" location="OP GROUP PILEDRIVER" display="OP GROUP PILEDRIVER"/>
    <hyperlink ref="B166" location="PLAS ZONE" display="PLAS ZONE"/>
    <hyperlink ref="B204" location="LABORER ZONE" display="LABORER ZONE"/>
    <hyperlink ref="B207" location="truckzone" display="truckzone"/>
    <hyperlink ref="B261" location="OP ZONE" display="OP ZONE"/>
    <hyperlink ref="C20" location="Carp" display="Carp"/>
    <hyperlink ref="C52" location="LABORER ZONE" display="LABORER ZONE"/>
    <hyperlink ref="C62" location="LABORER ZONE" display="LABORER ZONE"/>
    <hyperlink ref="C65" location="Hod Brick Zone" display="Hod Brick Zone"/>
    <hyperlink ref="C79" location="LABORER ZONE" display="LABORER ZONE"/>
    <hyperlink ref="C93" location="OP ZONE" display="OP ZONE"/>
    <hyperlink ref="C114" location="OP ZONE" display="OP ZONE"/>
    <hyperlink ref="C179" location="SHEET" display="SHEET"/>
    <hyperlink ref="B193" location="TILE 09" display="TILE 09"/>
    <hyperlink ref="B196" location="TILE 09" display="TILE 09"/>
    <hyperlink ref="C204" location="LABORER ZONE" display="LABORER ZONE"/>
    <hyperlink ref="C261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2"/>
  <sheetViews>
    <sheetView workbookViewId="0">
      <selection activeCell="M1" sqref="M1:M1048576"/>
    </sheetView>
  </sheetViews>
  <sheetFormatPr defaultRowHeight="12.75"/>
  <cols>
    <col min="1" max="1" width="30.7109375" customWidth="1"/>
    <col min="2" max="2" width="9.140625" style="9"/>
    <col min="3" max="3" width="9.42578125" style="9" customWidth="1"/>
    <col min="4" max="4" width="12.85546875" customWidth="1"/>
    <col min="6" max="6" width="19.140625" customWidth="1"/>
    <col min="8" max="8" width="10.5703125" customWidth="1"/>
    <col min="9" max="9" width="11" customWidth="1"/>
    <col min="11" max="11" width="16.7109375" customWidth="1"/>
    <col min="12" max="12" width="11" customWidth="1"/>
  </cols>
  <sheetData>
    <row r="1" spans="1:12" ht="52.5" customHeight="1">
      <c r="A1" s="48" t="s">
        <v>4002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37" t="s">
        <v>3980</v>
      </c>
      <c r="B2" s="37"/>
      <c r="C2" s="37"/>
      <c r="D2" s="21">
        <f>AVERAGE(D4:D287)</f>
        <v>3.9650822965831695E-2</v>
      </c>
      <c r="F2" s="21">
        <f>AVERAGE(F4:F287)</f>
        <v>5.8512716629721987E-3</v>
      </c>
      <c r="H2" s="21">
        <f>AVERAGE(H4:H287)</f>
        <v>2.1722565993112199E-2</v>
      </c>
      <c r="I2" s="21">
        <f>AVERAGE(I4:I287)</f>
        <v>-1.3292822634105935E-2</v>
      </c>
      <c r="L2" s="21">
        <f>AVERAGE(L4:L287)</f>
        <v>8.0763041529482521E-2</v>
      </c>
    </row>
    <row r="3" spans="1:12">
      <c r="J3" s="9"/>
      <c r="K3" s="9"/>
      <c r="L3" s="16"/>
    </row>
    <row r="4" spans="1:12" ht="63.75">
      <c r="A4" s="2" t="s">
        <v>3500</v>
      </c>
      <c r="B4" s="7"/>
      <c r="C4" s="12" t="s">
        <v>3978</v>
      </c>
      <c r="D4" s="8"/>
      <c r="E4" s="44"/>
      <c r="F4" s="43"/>
      <c r="G4" s="23" t="s">
        <v>3983</v>
      </c>
      <c r="H4" s="43">
        <f>AVERAGE(F5:F7)</f>
        <v>0.47112635791881097</v>
      </c>
      <c r="I4" s="43"/>
      <c r="J4" s="44"/>
      <c r="K4" s="44"/>
      <c r="L4" s="43"/>
    </row>
    <row r="5" spans="1:12">
      <c r="A5" s="1" t="s">
        <v>3502</v>
      </c>
      <c r="B5" s="7">
        <v>58.52</v>
      </c>
      <c r="C5" s="7">
        <v>48.35</v>
      </c>
      <c r="D5" s="16">
        <f>(C5-B5)/B5</f>
        <v>-0.17378673957621327</v>
      </c>
      <c r="E5" s="9">
        <v>34.979999999999997</v>
      </c>
      <c r="F5" s="16">
        <f>(C5-E5)/E5</f>
        <v>0.38221841052029748</v>
      </c>
      <c r="G5" s="40"/>
      <c r="H5" s="16"/>
      <c r="I5" s="16"/>
      <c r="J5" s="9"/>
      <c r="K5" s="9"/>
      <c r="L5" s="16"/>
    </row>
    <row r="6" spans="1:12">
      <c r="A6" s="1" t="s">
        <v>3503</v>
      </c>
      <c r="B6" s="7">
        <v>62.95</v>
      </c>
      <c r="C6" s="7">
        <v>51.46</v>
      </c>
      <c r="D6" s="16">
        <f>(C6-B6)/B6</f>
        <v>-0.18252581413820496</v>
      </c>
      <c r="E6" s="9">
        <v>34.979999999999997</v>
      </c>
      <c r="F6" s="16">
        <f>(C6-E6)/E6</f>
        <v>0.47112635791881091</v>
      </c>
      <c r="G6" s="40"/>
      <c r="H6" s="16"/>
      <c r="I6" s="16"/>
      <c r="J6" s="9"/>
      <c r="K6" s="9"/>
      <c r="L6" s="16"/>
    </row>
    <row r="7" spans="1:12">
      <c r="A7" s="1" t="s">
        <v>3504</v>
      </c>
      <c r="B7" s="7">
        <v>67.37</v>
      </c>
      <c r="C7" s="7">
        <v>54.57</v>
      </c>
      <c r="D7" s="16">
        <f>(C7-B7)/B7</f>
        <v>-0.18999554697936771</v>
      </c>
      <c r="E7" s="9">
        <v>34.979999999999997</v>
      </c>
      <c r="F7" s="16">
        <f>(C7-E7)/E7</f>
        <v>0.56003430531732434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31"/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3903</v>
      </c>
      <c r="B10" s="7">
        <v>30.88</v>
      </c>
      <c r="C10" s="7">
        <v>25.58</v>
      </c>
      <c r="D10" s="16">
        <f>(C10-B10)/B10</f>
        <v>-0.17163212435233163</v>
      </c>
      <c r="E10" s="9">
        <v>25.58</v>
      </c>
      <c r="F10" s="16">
        <f>(C10-E10)/E10</f>
        <v>0</v>
      </c>
      <c r="H10" s="16"/>
      <c r="I10" s="16"/>
      <c r="J10" s="9"/>
      <c r="K10" s="9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>
      <c r="A12" s="2" t="s">
        <v>3507</v>
      </c>
      <c r="B12" s="11" t="s">
        <v>3534</v>
      </c>
      <c r="C12" s="55" t="s">
        <v>3981</v>
      </c>
      <c r="D12" s="43"/>
      <c r="E12" s="44"/>
      <c r="F12" s="43"/>
      <c r="G12" s="23" t="s">
        <v>3983</v>
      </c>
      <c r="H12" s="43">
        <f>AVERAGE(F13:F15)</f>
        <v>1.8693032596941044E-2</v>
      </c>
      <c r="I12" s="43"/>
      <c r="J12" s="44"/>
      <c r="K12" s="44"/>
      <c r="L12" s="43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H14" s="16"/>
      <c r="I14" s="16"/>
      <c r="J14" s="9"/>
      <c r="K14" s="9"/>
      <c r="L14" s="16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G15" s="40"/>
      <c r="H15" s="16"/>
      <c r="I15" s="16"/>
      <c r="J15" s="9"/>
      <c r="K15" s="9"/>
      <c r="L15" s="16"/>
    </row>
    <row r="16" spans="1:12">
      <c r="A16" s="1"/>
      <c r="B16" s="7"/>
      <c r="C16" s="7"/>
      <c r="D16" s="16"/>
      <c r="E16" s="9"/>
      <c r="F16" s="16"/>
      <c r="G16" s="40"/>
      <c r="H16" s="16"/>
      <c r="I16" s="16"/>
      <c r="J16" s="9"/>
      <c r="K16" s="9"/>
      <c r="L16" s="16"/>
    </row>
    <row r="17" spans="1:12" ht="38.25">
      <c r="A17" s="2" t="s">
        <v>3509</v>
      </c>
      <c r="B17" s="12" t="s">
        <v>3510</v>
      </c>
      <c r="C17" s="55" t="s">
        <v>3496</v>
      </c>
      <c r="D17" s="43"/>
      <c r="E17" s="44"/>
      <c r="F17" s="43"/>
      <c r="G17" s="23" t="s">
        <v>3983</v>
      </c>
      <c r="H17" s="43">
        <f>AVERAGE(F18)</f>
        <v>-0.28065155183799251</v>
      </c>
      <c r="I17" s="43"/>
      <c r="J17" s="44"/>
      <c r="K17" s="44"/>
      <c r="L17" s="43"/>
    </row>
    <row r="18" spans="1:12">
      <c r="A18" s="1" t="s">
        <v>3904</v>
      </c>
      <c r="B18" s="7">
        <v>32.68</v>
      </c>
      <c r="C18" s="7">
        <v>32.68</v>
      </c>
      <c r="D18" s="16">
        <f>(C18-B18)/B18</f>
        <v>0</v>
      </c>
      <c r="E18" s="9">
        <v>45.43</v>
      </c>
      <c r="F18" s="16">
        <f>(C18-E18)/E18</f>
        <v>-0.28065155183799251</v>
      </c>
      <c r="G18" s="40"/>
      <c r="H18" s="16"/>
      <c r="I18" s="16"/>
      <c r="J18" s="9"/>
      <c r="K18" s="9"/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J19" s="9"/>
      <c r="K19" s="9"/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AVERAGE(F21:F22)</f>
        <v>3.70418172431594E-2</v>
      </c>
      <c r="I20" s="43"/>
      <c r="J20" s="44"/>
      <c r="K20" s="44"/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38.74</v>
      </c>
      <c r="F21" s="16">
        <f>(C21-E21)/E21</f>
        <v>1.5487867836859878E-3</v>
      </c>
      <c r="G21" s="40"/>
      <c r="H21" s="16"/>
      <c r="I21" s="16"/>
      <c r="J21" s="9"/>
      <c r="K21" s="9"/>
      <c r="L21" s="16"/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38.74</v>
      </c>
      <c r="F22" s="16">
        <f>(C22-E22)/E22</f>
        <v>7.2534847702632813E-2</v>
      </c>
      <c r="G22" s="40"/>
      <c r="H22" s="16"/>
      <c r="I22" s="16"/>
      <c r="J22" s="9"/>
      <c r="K22" s="9"/>
      <c r="L22" s="16"/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J23" s="9"/>
      <c r="K23" s="9"/>
      <c r="L23" s="16"/>
    </row>
    <row r="24" spans="1:12">
      <c r="A24" s="2" t="s">
        <v>3517</v>
      </c>
      <c r="B24" s="7"/>
      <c r="C24" s="31"/>
      <c r="D24" s="43"/>
      <c r="E24" s="44"/>
      <c r="F24" s="43"/>
      <c r="G24" s="23" t="s">
        <v>3983</v>
      </c>
      <c r="H24" s="43">
        <f>AVERAGE(F25)</f>
        <v>-0.10602910602910599</v>
      </c>
      <c r="I24" s="43"/>
      <c r="J24" s="44"/>
      <c r="K24" s="44"/>
      <c r="L24" s="43"/>
    </row>
    <row r="25" spans="1:12">
      <c r="A25" s="1" t="s">
        <v>3944</v>
      </c>
      <c r="B25" s="7">
        <v>34.4</v>
      </c>
      <c r="C25" s="7">
        <v>34.4</v>
      </c>
      <c r="D25" s="16">
        <f>(C25-B25)/B25</f>
        <v>0</v>
      </c>
      <c r="E25" s="9">
        <v>38.479999999999997</v>
      </c>
      <c r="F25" s="16">
        <f>(C25-E25)/E25</f>
        <v>-0.10602910602910599</v>
      </c>
      <c r="G25" s="40"/>
      <c r="H25" s="16"/>
      <c r="I25" s="16"/>
      <c r="J25" s="9"/>
      <c r="K25" s="9"/>
      <c r="L25" s="16"/>
    </row>
    <row r="26" spans="1:12">
      <c r="A26" s="143"/>
      <c r="B26" s="143"/>
      <c r="C26" s="7"/>
      <c r="D26" s="16"/>
      <c r="E26" s="9"/>
      <c r="F26" s="16"/>
      <c r="G26" s="40"/>
      <c r="H26" s="16"/>
      <c r="I26" s="16"/>
      <c r="J26" s="9"/>
      <c r="K26" s="9"/>
      <c r="L26" s="16"/>
    </row>
    <row r="27" spans="1:12" ht="38.25">
      <c r="A27" s="2" t="s">
        <v>3676</v>
      </c>
      <c r="B27" s="7"/>
      <c r="C27" s="31" t="s">
        <v>3499</v>
      </c>
      <c r="D27" s="43"/>
      <c r="E27" s="44"/>
      <c r="F27" s="43"/>
      <c r="G27" s="23" t="s">
        <v>3984</v>
      </c>
      <c r="H27" s="43"/>
      <c r="I27" s="43">
        <f>AVERAGE(F28)</f>
        <v>0</v>
      </c>
      <c r="J27" s="44"/>
      <c r="K27" s="44"/>
      <c r="L27" s="43"/>
    </row>
    <row r="28" spans="1:12">
      <c r="A28" s="1" t="s">
        <v>3525</v>
      </c>
      <c r="B28" s="7">
        <v>27.97</v>
      </c>
      <c r="C28" s="7">
        <v>25.66</v>
      </c>
      <c r="D28" s="16">
        <f>(C28-B28)/B28</f>
        <v>-8.2588487665355689E-2</v>
      </c>
      <c r="E28" s="9">
        <v>25.66</v>
      </c>
      <c r="F28" s="16">
        <f>(C28-E28)/E28</f>
        <v>0</v>
      </c>
      <c r="G28" s="40"/>
      <c r="H28" s="16"/>
      <c r="I28" s="16"/>
      <c r="J28" s="9"/>
      <c r="K28" s="9"/>
      <c r="L28" s="16"/>
    </row>
    <row r="29" spans="1:12">
      <c r="A29" s="1"/>
      <c r="B29" s="7"/>
      <c r="C29" s="7"/>
      <c r="D29" s="16"/>
      <c r="E29" s="9"/>
      <c r="F29" s="16"/>
      <c r="G29" s="40"/>
      <c r="H29" s="16"/>
      <c r="I29" s="16"/>
      <c r="J29" s="9"/>
      <c r="K29" s="9"/>
      <c r="L29" s="16"/>
    </row>
    <row r="30" spans="1:12" ht="38.25" customHeight="1">
      <c r="A30" s="144" t="s">
        <v>3763</v>
      </c>
      <c r="B30" s="144"/>
      <c r="C30" s="31" t="s">
        <v>3499</v>
      </c>
      <c r="D30" s="43"/>
      <c r="E30" s="44"/>
      <c r="F30" s="43"/>
      <c r="G30" s="23" t="s">
        <v>3983</v>
      </c>
      <c r="H30" s="43">
        <f>AVERAGE(F31:F35)</f>
        <v>2.2015392876320074E-2</v>
      </c>
      <c r="I30" s="43"/>
      <c r="J30" s="44"/>
      <c r="K30" s="44"/>
      <c r="L30" s="43"/>
    </row>
    <row r="31" spans="1:12">
      <c r="A31" s="1" t="s">
        <v>3764</v>
      </c>
      <c r="B31" s="7">
        <v>39.19</v>
      </c>
      <c r="C31" s="7">
        <v>40.5</v>
      </c>
      <c r="D31" s="16">
        <f>(C31-B31)/B31</f>
        <v>3.3426894615973521E-2</v>
      </c>
      <c r="E31" s="9">
        <v>55.87</v>
      </c>
      <c r="F31" s="16">
        <f>(C31-E31)/E31</f>
        <v>-0.27510291748702342</v>
      </c>
      <c r="G31" s="40"/>
      <c r="H31" s="16"/>
      <c r="I31" s="16"/>
      <c r="J31" s="9"/>
      <c r="K31" s="9"/>
      <c r="L31" s="16"/>
    </row>
    <row r="32" spans="1:12">
      <c r="A32" s="1" t="s">
        <v>3765</v>
      </c>
      <c r="B32" s="7">
        <v>57.91</v>
      </c>
      <c r="C32" s="7">
        <v>59.9</v>
      </c>
      <c r="D32" s="16">
        <f>(C32-B32)/B32</f>
        <v>3.4363667760317768E-2</v>
      </c>
      <c r="E32" s="9">
        <v>55.87</v>
      </c>
      <c r="F32" s="16">
        <f>(C32-E32)/E32</f>
        <v>7.2131734383390031E-2</v>
      </c>
      <c r="G32" s="40"/>
      <c r="H32" s="16"/>
      <c r="I32" s="16"/>
      <c r="J32" s="9"/>
      <c r="K32" s="9"/>
      <c r="L32" s="16"/>
    </row>
    <row r="33" spans="1:12">
      <c r="A33" s="1" t="s">
        <v>3601</v>
      </c>
      <c r="B33" s="7">
        <v>63.02</v>
      </c>
      <c r="C33" s="7">
        <v>65.16</v>
      </c>
      <c r="D33" s="16">
        <f>(C33-B33)/B33</f>
        <v>3.3957473817835503E-2</v>
      </c>
      <c r="E33" s="9">
        <v>55.87</v>
      </c>
      <c r="F33" s="16">
        <f>(C33-E33)/E33</f>
        <v>0.16627886164310005</v>
      </c>
      <c r="G33" s="40"/>
      <c r="H33" s="16"/>
      <c r="I33" s="16"/>
      <c r="J33" s="9"/>
      <c r="K33" s="9"/>
      <c r="L33" s="16"/>
    </row>
    <row r="34" spans="1:12">
      <c r="A34" s="1" t="s">
        <v>3766</v>
      </c>
      <c r="B34" s="7">
        <v>68.12</v>
      </c>
      <c r="C34" s="7">
        <v>70.45</v>
      </c>
      <c r="D34" s="16">
        <f>(C34-B34)/B34</f>
        <v>3.4204345273047533E-2</v>
      </c>
      <c r="E34" s="9">
        <v>55.87</v>
      </c>
      <c r="F34" s="16">
        <f>(C34-E34)/E34</f>
        <v>0.26096294970467165</v>
      </c>
      <c r="G34" s="40"/>
      <c r="H34" s="16"/>
      <c r="I34" s="16"/>
      <c r="J34" s="9"/>
      <c r="K34" s="9"/>
      <c r="L34" s="16"/>
    </row>
    <row r="35" spans="1:12">
      <c r="A35" s="1" t="s">
        <v>3945</v>
      </c>
      <c r="B35" s="7">
        <v>47.86</v>
      </c>
      <c r="C35" s="7">
        <v>49.49</v>
      </c>
      <c r="D35" s="16">
        <f>(C35-B35)/B35</f>
        <v>3.4057668198913552E-2</v>
      </c>
      <c r="E35" s="9">
        <v>55.87</v>
      </c>
      <c r="F35" s="16">
        <f>(C35-E35)/E35</f>
        <v>-0.11419366386253796</v>
      </c>
      <c r="G35" s="40"/>
      <c r="H35" s="16"/>
      <c r="I35" s="16"/>
      <c r="J35" s="9"/>
      <c r="K35" s="9"/>
      <c r="L35" s="16"/>
    </row>
    <row r="36" spans="1:12">
      <c r="A36" s="1"/>
      <c r="B36" s="7"/>
      <c r="C36" s="7"/>
      <c r="D36" s="16"/>
      <c r="E36" s="9"/>
      <c r="F36" s="16"/>
      <c r="G36" s="40"/>
      <c r="H36" s="16"/>
      <c r="I36" s="16"/>
      <c r="J36" s="9"/>
      <c r="K36" s="9"/>
      <c r="L36" s="16"/>
    </row>
    <row r="37" spans="1:12">
      <c r="A37" s="2" t="s">
        <v>3533</v>
      </c>
      <c r="B37" s="11" t="s">
        <v>3534</v>
      </c>
      <c r="C37" s="31" t="s">
        <v>3981</v>
      </c>
      <c r="D37" s="43"/>
      <c r="E37" s="44"/>
      <c r="F37" s="43"/>
      <c r="G37" s="23" t="s">
        <v>3983</v>
      </c>
      <c r="H37" s="43">
        <f>AVERAGE(F38)</f>
        <v>5.7445868316395301E-3</v>
      </c>
      <c r="I37" s="43"/>
      <c r="J37" s="44"/>
      <c r="K37" s="44"/>
      <c r="L37" s="16"/>
    </row>
    <row r="38" spans="1:12">
      <c r="A38" s="1" t="s">
        <v>3535</v>
      </c>
      <c r="B38" s="7">
        <v>44.31</v>
      </c>
      <c r="C38" s="7">
        <v>45.52</v>
      </c>
      <c r="D38" s="16">
        <f>(C38-B38)/B38</f>
        <v>2.7307605506657655E-2</v>
      </c>
      <c r="E38" s="9">
        <v>45.26</v>
      </c>
      <c r="F38" s="16">
        <f>(C38-E38)/E38</f>
        <v>5.7445868316395301E-3</v>
      </c>
      <c r="G38" s="40"/>
      <c r="H38" s="16"/>
      <c r="I38" s="16"/>
      <c r="J38" s="9"/>
      <c r="K38" s="9"/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J39" s="9"/>
      <c r="K39" s="9"/>
      <c r="L39" s="16"/>
    </row>
    <row r="40" spans="1:12">
      <c r="A40" s="2" t="s">
        <v>3536</v>
      </c>
      <c r="B40" s="11" t="s">
        <v>3534</v>
      </c>
      <c r="C40" s="33" t="s">
        <v>3534</v>
      </c>
      <c r="D40" s="43"/>
      <c r="E40" s="44"/>
      <c r="F40" s="43"/>
      <c r="G40" s="23" t="s">
        <v>3984</v>
      </c>
      <c r="H40" s="43"/>
      <c r="I40" s="43">
        <f>AVERAGE(F41)</f>
        <v>-4.8257372654155424E-2</v>
      </c>
      <c r="J40" s="44"/>
      <c r="K40" s="44"/>
      <c r="L40" s="16"/>
    </row>
    <row r="41" spans="1:12">
      <c r="A41" s="1" t="s">
        <v>3537</v>
      </c>
      <c r="B41" s="7">
        <v>31.07</v>
      </c>
      <c r="C41" s="7">
        <v>42.6</v>
      </c>
      <c r="D41" s="16">
        <f>(C41-B41)/B41</f>
        <v>0.37109752172513683</v>
      </c>
      <c r="E41" s="9">
        <v>44.76</v>
      </c>
      <c r="F41" s="16">
        <f>(C41-E41)/E41</f>
        <v>-4.8257372654155424E-2</v>
      </c>
      <c r="G41" s="40"/>
      <c r="H41" s="16"/>
      <c r="I41" s="16"/>
      <c r="J41" s="9"/>
      <c r="K41" s="9"/>
      <c r="L41" s="16"/>
    </row>
    <row r="42" spans="1:12">
      <c r="A42" s="1" t="s">
        <v>3538</v>
      </c>
      <c r="B42" s="7">
        <v>31.07</v>
      </c>
      <c r="C42" s="7">
        <v>42.6</v>
      </c>
      <c r="D42" s="16">
        <f>(C42-B42)/B42</f>
        <v>0.37109752172513683</v>
      </c>
      <c r="E42" s="9">
        <v>44.76</v>
      </c>
      <c r="F42" s="16">
        <f>(C42-E42)/E42</f>
        <v>-4.8257372654155424E-2</v>
      </c>
      <c r="G42" s="40"/>
      <c r="H42" s="16"/>
      <c r="I42" s="16"/>
      <c r="J42" s="9"/>
      <c r="K42" s="9"/>
      <c r="L42" s="16"/>
    </row>
    <row r="43" spans="1:12">
      <c r="A43" s="1" t="s">
        <v>3601</v>
      </c>
      <c r="B43" s="7">
        <v>31.07</v>
      </c>
      <c r="C43" s="7">
        <v>42.6</v>
      </c>
      <c r="D43" s="16">
        <f>(C43-B43)/B43</f>
        <v>0.37109752172513683</v>
      </c>
      <c r="E43" s="9">
        <v>44.76</v>
      </c>
      <c r="F43" s="16">
        <f>(C43-E43)/E43</f>
        <v>-4.8257372654155424E-2</v>
      </c>
      <c r="G43" s="40"/>
      <c r="H43" s="16"/>
      <c r="I43" s="16"/>
      <c r="J43" s="9"/>
      <c r="K43" s="9"/>
      <c r="L43" s="16"/>
    </row>
    <row r="44" spans="1:12">
      <c r="A44" s="1" t="s">
        <v>3766</v>
      </c>
      <c r="B44" s="7">
        <v>31.07</v>
      </c>
      <c r="C44" s="7">
        <v>42.6</v>
      </c>
      <c r="D44" s="16">
        <f>(C44-B44)/B44</f>
        <v>0.37109752172513683</v>
      </c>
      <c r="E44" s="9">
        <v>44.76</v>
      </c>
      <c r="F44" s="16">
        <f>(C44-E44)/E44</f>
        <v>-4.8257372654155424E-2</v>
      </c>
      <c r="G44" s="40"/>
      <c r="H44" s="16"/>
      <c r="I44" s="16"/>
      <c r="J44" s="9"/>
      <c r="K44" s="9"/>
      <c r="L44" s="16"/>
    </row>
    <row r="45" spans="1:12">
      <c r="A45" s="1"/>
      <c r="B45" s="7"/>
      <c r="C45" s="7"/>
      <c r="D45" s="16"/>
      <c r="E45" s="9"/>
      <c r="F45" s="16"/>
      <c r="G45" s="40"/>
      <c r="H45" s="16"/>
      <c r="I45" s="16"/>
      <c r="J45" s="9"/>
      <c r="K45" s="9"/>
      <c r="L45" s="16"/>
    </row>
    <row r="46" spans="1:12" ht="25.5">
      <c r="A46" s="2" t="s">
        <v>3541</v>
      </c>
      <c r="B46" s="11" t="s">
        <v>3534</v>
      </c>
      <c r="C46" s="31" t="s">
        <v>3497</v>
      </c>
      <c r="D46" s="43"/>
      <c r="E46" s="44"/>
      <c r="F46" s="43"/>
      <c r="G46" s="23" t="s">
        <v>3983</v>
      </c>
      <c r="H46" s="43">
        <f>AVERAGE(F47:F48)</f>
        <v>0.13484470327232381</v>
      </c>
      <c r="I46" s="43"/>
      <c r="J46" s="44"/>
      <c r="K46" s="44"/>
      <c r="L46" s="16"/>
    </row>
    <row r="47" spans="1:12" ht="25.5">
      <c r="A47" s="1" t="s">
        <v>3542</v>
      </c>
      <c r="B47" s="7">
        <v>46.01</v>
      </c>
      <c r="C47" s="7">
        <v>78.209999999999994</v>
      </c>
      <c r="D47" s="16">
        <f>(C47-B47)/B47</f>
        <v>0.69984785916105186</v>
      </c>
      <c r="E47" s="9">
        <v>72.12</v>
      </c>
      <c r="F47" s="16">
        <f>(C47-E47)/E47</f>
        <v>8.4442595673876714E-2</v>
      </c>
      <c r="G47" s="40"/>
      <c r="H47" s="16"/>
      <c r="I47" s="16"/>
      <c r="J47" s="9"/>
      <c r="K47" s="9"/>
      <c r="L47" s="16"/>
    </row>
    <row r="48" spans="1:12" ht="25.5">
      <c r="A48" s="1" t="s">
        <v>3543</v>
      </c>
      <c r="B48" s="7">
        <v>46.01</v>
      </c>
      <c r="C48" s="7">
        <v>85.48</v>
      </c>
      <c r="D48" s="16">
        <f>(C48-B48)/B48</f>
        <v>0.85785698761138895</v>
      </c>
      <c r="E48" s="9">
        <v>72.12</v>
      </c>
      <c r="F48" s="16">
        <f>(C48-E48)/E48</f>
        <v>0.18524681087077091</v>
      </c>
      <c r="G48" s="40"/>
      <c r="H48" s="16"/>
      <c r="I48" s="16"/>
      <c r="J48" s="9"/>
      <c r="K48" s="9"/>
      <c r="L48" s="16"/>
    </row>
    <row r="49" spans="1:12">
      <c r="A49" s="1"/>
      <c r="B49" s="7"/>
      <c r="C49" s="7"/>
      <c r="D49" s="16"/>
      <c r="E49" s="9"/>
      <c r="F49" s="16"/>
      <c r="G49" s="40"/>
      <c r="H49" s="16"/>
      <c r="I49" s="16"/>
      <c r="J49" s="9"/>
      <c r="K49" s="9"/>
      <c r="L49" s="16"/>
    </row>
    <row r="50" spans="1:12" ht="51">
      <c r="A50" s="2" t="s">
        <v>3544</v>
      </c>
      <c r="B50" s="12" t="s">
        <v>3547</v>
      </c>
      <c r="C50" s="31" t="s">
        <v>3499</v>
      </c>
      <c r="D50" s="43"/>
      <c r="E50" s="44"/>
      <c r="F50" s="43"/>
      <c r="G50" s="23" t="s">
        <v>3984</v>
      </c>
      <c r="H50" s="43"/>
      <c r="I50" s="43">
        <f>AVERAGE(F51)</f>
        <v>0</v>
      </c>
      <c r="J50" s="44"/>
      <c r="K50" s="44"/>
      <c r="L50" s="16"/>
    </row>
    <row r="51" spans="1:12">
      <c r="A51" s="1" t="s">
        <v>3545</v>
      </c>
      <c r="B51" s="7">
        <v>30.82</v>
      </c>
      <c r="C51" s="7">
        <v>35.47</v>
      </c>
      <c r="D51" s="16">
        <f>(C51-B51)/B51</f>
        <v>0.15087605451005837</v>
      </c>
      <c r="E51" s="9">
        <v>35.47</v>
      </c>
      <c r="F51" s="16">
        <f>(C51-E51)/E51</f>
        <v>0</v>
      </c>
      <c r="G51" s="40"/>
      <c r="H51" s="16"/>
      <c r="I51" s="16"/>
      <c r="J51" s="9"/>
      <c r="K51" s="9"/>
      <c r="L51" s="16"/>
    </row>
    <row r="52" spans="1:12">
      <c r="A52" s="1"/>
      <c r="B52" s="7"/>
      <c r="C52" s="7"/>
      <c r="D52" s="16"/>
      <c r="E52" s="9"/>
      <c r="F52" s="16"/>
      <c r="G52" s="40"/>
      <c r="H52" s="16"/>
      <c r="I52" s="16"/>
      <c r="J52" s="9"/>
      <c r="K52" s="9"/>
      <c r="L52" s="16"/>
    </row>
    <row r="53" spans="1:12" ht="51">
      <c r="A53" s="2" t="s">
        <v>3546</v>
      </c>
      <c r="B53" s="12" t="s">
        <v>3547</v>
      </c>
      <c r="C53" s="12" t="s">
        <v>3547</v>
      </c>
      <c r="D53" s="43"/>
      <c r="E53" s="44"/>
      <c r="F53" s="43"/>
      <c r="G53" s="23"/>
      <c r="H53" s="43"/>
      <c r="I53" s="43"/>
      <c r="J53" s="44"/>
      <c r="K53" s="44"/>
      <c r="L53" s="16"/>
    </row>
    <row r="54" spans="1:12">
      <c r="A54" s="1" t="s">
        <v>3548</v>
      </c>
      <c r="B54" s="7">
        <v>27.95</v>
      </c>
      <c r="C54" s="7">
        <v>27.95</v>
      </c>
      <c r="D54" s="16">
        <f>(C54-B54)/B54</f>
        <v>0</v>
      </c>
      <c r="E54" s="9"/>
      <c r="F54" s="16"/>
      <c r="G54" s="40"/>
      <c r="H54" s="16"/>
      <c r="I54" s="16"/>
      <c r="J54" s="9"/>
      <c r="K54" s="9"/>
      <c r="L54" s="16"/>
    </row>
    <row r="55" spans="1:12">
      <c r="A55" s="1"/>
      <c r="B55" s="7"/>
      <c r="C55" s="7"/>
      <c r="D55" s="16"/>
      <c r="E55" s="9"/>
      <c r="F55" s="16"/>
      <c r="G55" s="40"/>
      <c r="H55" s="16"/>
      <c r="I55" s="16"/>
      <c r="J55" s="9"/>
      <c r="K55" s="9"/>
      <c r="L55" s="16"/>
    </row>
    <row r="56" spans="1:12">
      <c r="A56" s="2" t="s">
        <v>3549</v>
      </c>
      <c r="B56" s="7"/>
      <c r="C56" s="31" t="s">
        <v>3480</v>
      </c>
      <c r="D56" s="43"/>
      <c r="E56" s="44"/>
      <c r="F56" s="43"/>
      <c r="G56" s="23" t="s">
        <v>3983</v>
      </c>
      <c r="H56" s="43">
        <f>AVERAGE(F57:F58)</f>
        <v>3.6491324703938281E-2</v>
      </c>
      <c r="I56" s="43"/>
      <c r="J56" s="44"/>
      <c r="K56" s="44"/>
      <c r="L56" s="16"/>
    </row>
    <row r="57" spans="1:12">
      <c r="A57" s="1" t="s">
        <v>3550</v>
      </c>
      <c r="B57" s="7">
        <v>36.26</v>
      </c>
      <c r="C57" s="7">
        <v>36.340000000000003</v>
      </c>
      <c r="D57" s="16">
        <f>(C57-B57)/B57</f>
        <v>2.2062879205737838E-3</v>
      </c>
      <c r="E57" s="9">
        <v>36.31</v>
      </c>
      <c r="F57" s="16">
        <f>(C57-E57)/E57</f>
        <v>8.2621867254203073E-4</v>
      </c>
      <c r="G57" s="40"/>
      <c r="H57" s="16"/>
      <c r="I57" s="16"/>
      <c r="J57" s="9"/>
      <c r="K57" s="9"/>
      <c r="L57" s="16"/>
    </row>
    <row r="58" spans="1:12">
      <c r="A58" s="1" t="s">
        <v>3551</v>
      </c>
      <c r="B58" s="7">
        <v>38.9</v>
      </c>
      <c r="C58" s="7">
        <v>38.93</v>
      </c>
      <c r="D58" s="16">
        <f>(C58-B58)/B58</f>
        <v>7.7120822622110891E-4</v>
      </c>
      <c r="E58" s="9">
        <v>36.31</v>
      </c>
      <c r="F58" s="16">
        <f>(C58-E58)/E58</f>
        <v>7.2156430735334537E-2</v>
      </c>
      <c r="G58" s="40"/>
      <c r="H58" s="16"/>
      <c r="I58" s="16"/>
      <c r="J58" s="9"/>
      <c r="K58" s="9"/>
      <c r="L58" s="16"/>
    </row>
    <row r="59" spans="1:12">
      <c r="A59" s="1"/>
      <c r="B59" s="7"/>
      <c r="C59" s="7"/>
      <c r="D59" s="16"/>
      <c r="E59" s="9"/>
      <c r="F59" s="16"/>
      <c r="G59" s="40"/>
      <c r="H59" s="16"/>
      <c r="I59" s="16"/>
      <c r="J59" s="9"/>
      <c r="K59" s="9"/>
      <c r="L59" s="16"/>
    </row>
    <row r="60" spans="1:12">
      <c r="A60" s="2" t="s">
        <v>3552</v>
      </c>
      <c r="B60" s="11" t="s">
        <v>3534</v>
      </c>
      <c r="C60" s="33" t="s">
        <v>3534</v>
      </c>
      <c r="D60" s="43"/>
      <c r="E60" s="44"/>
      <c r="F60" s="43"/>
      <c r="G60" s="23" t="s">
        <v>3984</v>
      </c>
      <c r="H60" s="43"/>
      <c r="I60" s="43">
        <f>AVERAGE(F61)</f>
        <v>0</v>
      </c>
      <c r="J60" s="44"/>
      <c r="K60" s="44"/>
      <c r="L60" s="16"/>
    </row>
    <row r="61" spans="1:12">
      <c r="A61" s="1" t="s">
        <v>3553</v>
      </c>
      <c r="B61" s="7">
        <v>21.5</v>
      </c>
      <c r="C61" s="7">
        <v>20.5</v>
      </c>
      <c r="D61" s="16">
        <f>(C61-B61)/B61</f>
        <v>-4.6511627906976744E-2</v>
      </c>
      <c r="E61" s="9">
        <v>20.5</v>
      </c>
      <c r="F61" s="16">
        <f>(C61-E61)/E61</f>
        <v>0</v>
      </c>
      <c r="G61" s="40"/>
      <c r="H61" s="16"/>
      <c r="I61" s="16"/>
      <c r="J61" s="9"/>
      <c r="K61" s="9"/>
      <c r="L61" s="16"/>
    </row>
    <row r="62" spans="1:12">
      <c r="A62" s="1"/>
      <c r="B62" s="7"/>
      <c r="C62" s="7"/>
      <c r="D62" s="16"/>
      <c r="E62" s="9"/>
      <c r="F62" s="16"/>
      <c r="G62" s="40"/>
      <c r="H62" s="16"/>
      <c r="I62" s="16"/>
      <c r="J62" s="9"/>
      <c r="K62" s="9"/>
      <c r="L62" s="16"/>
    </row>
    <row r="63" spans="1:12" ht="51">
      <c r="A63" s="2" t="s">
        <v>3554</v>
      </c>
      <c r="B63" s="12" t="s">
        <v>3547</v>
      </c>
      <c r="C63" s="12" t="s">
        <v>3547</v>
      </c>
      <c r="D63" s="43"/>
      <c r="E63" s="44"/>
      <c r="F63" s="43"/>
      <c r="G63" s="23" t="s">
        <v>3983</v>
      </c>
      <c r="H63" s="43">
        <f>AVERAGE(F64)</f>
        <v>1.727272727272728E-2</v>
      </c>
      <c r="I63" s="43"/>
      <c r="J63" s="44"/>
      <c r="K63" s="44"/>
      <c r="L63" s="16"/>
    </row>
    <row r="64" spans="1:12">
      <c r="A64" s="1" t="s">
        <v>3555</v>
      </c>
      <c r="B64" s="7">
        <v>33.57</v>
      </c>
      <c r="C64" s="7">
        <v>33.57</v>
      </c>
      <c r="D64" s="16">
        <f>(C64-B64)/B64</f>
        <v>0</v>
      </c>
      <c r="E64" s="9">
        <v>33</v>
      </c>
      <c r="F64" s="16">
        <f>(C64-E64)/E64</f>
        <v>1.727272727272728E-2</v>
      </c>
      <c r="G64" s="40"/>
      <c r="H64" s="16"/>
      <c r="I64" s="16"/>
      <c r="J64" s="9"/>
      <c r="K64" s="9"/>
      <c r="L64" s="16"/>
    </row>
    <row r="65" spans="1:12">
      <c r="A65" s="143"/>
      <c r="B65" s="143"/>
      <c r="C65" s="7"/>
      <c r="D65" s="16"/>
      <c r="E65" s="9"/>
      <c r="F65" s="16"/>
      <c r="G65" s="40"/>
      <c r="H65" s="16"/>
      <c r="I65" s="16"/>
      <c r="J65" s="9"/>
      <c r="K65" s="9"/>
      <c r="L65" s="16"/>
    </row>
    <row r="66" spans="1:12" ht="38.25">
      <c r="A66" s="2" t="s">
        <v>3556</v>
      </c>
      <c r="B66" s="12" t="s">
        <v>3923</v>
      </c>
      <c r="C66" s="55" t="s">
        <v>4001</v>
      </c>
      <c r="D66" s="43"/>
      <c r="E66" s="44"/>
      <c r="F66" s="43"/>
      <c r="G66" s="23" t="s">
        <v>3983</v>
      </c>
      <c r="H66" s="43">
        <f>AVERAGE(F67)</f>
        <v>0</v>
      </c>
      <c r="I66" s="43"/>
      <c r="J66" s="44"/>
      <c r="K66" s="44"/>
      <c r="L66" s="16"/>
    </row>
    <row r="67" spans="1:12">
      <c r="A67" s="1" t="s">
        <v>3774</v>
      </c>
      <c r="B67" s="7">
        <v>30.1</v>
      </c>
      <c r="C67" s="7">
        <v>30.1</v>
      </c>
      <c r="D67" s="16">
        <f>(C67-B67)/B67</f>
        <v>0</v>
      </c>
      <c r="E67" s="9">
        <v>30.1</v>
      </c>
      <c r="F67" s="16">
        <f>(C67-E67)/E67</f>
        <v>0</v>
      </c>
      <c r="G67" s="40"/>
      <c r="H67" s="16"/>
      <c r="I67" s="16"/>
      <c r="J67" s="9"/>
      <c r="K67" s="9"/>
      <c r="L67" s="16"/>
    </row>
    <row r="68" spans="1:12">
      <c r="A68" s="143"/>
      <c r="B68" s="143"/>
      <c r="C68" s="7"/>
      <c r="D68" s="16"/>
      <c r="E68" s="9"/>
      <c r="F68" s="16"/>
      <c r="G68" s="40"/>
      <c r="H68" s="16"/>
      <c r="I68" s="16"/>
      <c r="J68" s="9"/>
      <c r="K68" s="9"/>
      <c r="L68" s="16"/>
    </row>
    <row r="69" spans="1:12" ht="38.25">
      <c r="A69" s="2" t="s">
        <v>3684</v>
      </c>
      <c r="B69" s="12" t="s">
        <v>3923</v>
      </c>
      <c r="C69" s="55" t="s">
        <v>3480</v>
      </c>
      <c r="D69" s="43"/>
      <c r="E69" s="44"/>
      <c r="F69" s="43"/>
      <c r="G69" s="23" t="s">
        <v>3983</v>
      </c>
      <c r="H69" s="43">
        <f>AVERAGE(F70:F72)</f>
        <v>3.9035477814013279E-2</v>
      </c>
      <c r="I69" s="43"/>
      <c r="J69" s="44"/>
      <c r="K69" s="44"/>
      <c r="L69" s="16"/>
    </row>
    <row r="70" spans="1:12">
      <c r="A70" s="1" t="s">
        <v>3560</v>
      </c>
      <c r="B70" s="7">
        <v>33.76</v>
      </c>
      <c r="C70" s="7">
        <v>34.26</v>
      </c>
      <c r="D70" s="16">
        <f>(C70-B70)/B70</f>
        <v>1.481042654028436E-2</v>
      </c>
      <c r="E70" s="9">
        <v>33.729999999999997</v>
      </c>
      <c r="F70" s="16">
        <f>(C70-E70)/E70</f>
        <v>1.5713015120071189E-2</v>
      </c>
      <c r="G70" s="40"/>
      <c r="H70" s="16"/>
      <c r="I70" s="16"/>
      <c r="J70" s="9"/>
      <c r="K70" s="9"/>
      <c r="L70" s="16"/>
    </row>
    <row r="71" spans="1:12">
      <c r="A71" s="1" t="s">
        <v>3561</v>
      </c>
      <c r="B71" s="7">
        <v>34.76</v>
      </c>
      <c r="C71" s="7">
        <v>35.26</v>
      </c>
      <c r="D71" s="16">
        <f>(C71-B71)/B71</f>
        <v>1.4384349827387804E-2</v>
      </c>
      <c r="E71" s="9">
        <v>33.729999999999997</v>
      </c>
      <c r="F71" s="16">
        <f>(C71-E71)/E71</f>
        <v>4.5360213459828082E-2</v>
      </c>
      <c r="G71" s="40"/>
      <c r="H71" s="16"/>
      <c r="I71" s="16"/>
      <c r="J71" s="9"/>
      <c r="K71" s="9"/>
      <c r="L71" s="16"/>
    </row>
    <row r="72" spans="1:12">
      <c r="A72" s="1" t="s">
        <v>3562</v>
      </c>
      <c r="B72" s="7">
        <v>35.119999999999997</v>
      </c>
      <c r="C72" s="7">
        <v>35.619999999999997</v>
      </c>
      <c r="D72" s="16">
        <f>(C72-B72)/B72</f>
        <v>1.4236902050113897E-2</v>
      </c>
      <c r="E72" s="9">
        <v>33.729999999999997</v>
      </c>
      <c r="F72" s="16">
        <f>(C72-E72)/E72</f>
        <v>5.603320486214055E-2</v>
      </c>
      <c r="G72" s="40"/>
      <c r="H72" s="16"/>
      <c r="I72" s="16"/>
      <c r="J72" s="9"/>
      <c r="K72" s="9"/>
      <c r="L72" s="16"/>
    </row>
    <row r="73" spans="1:12">
      <c r="A73" s="1"/>
      <c r="B73" s="7"/>
      <c r="C73" s="7"/>
      <c r="D73" s="16"/>
      <c r="E73" s="9"/>
      <c r="F73" s="16"/>
      <c r="G73" s="40"/>
      <c r="H73" s="16"/>
      <c r="I73" s="16"/>
      <c r="J73" s="9"/>
      <c r="K73" s="9"/>
      <c r="L73" s="16"/>
    </row>
    <row r="74" spans="1:12" ht="38.25">
      <c r="A74" s="2" t="s">
        <v>3563</v>
      </c>
      <c r="B74" s="12" t="s">
        <v>3924</v>
      </c>
      <c r="C74" s="55" t="s">
        <v>4001</v>
      </c>
      <c r="D74" s="43"/>
      <c r="E74" s="44"/>
      <c r="F74" s="43"/>
      <c r="G74" s="23" t="s">
        <v>3983</v>
      </c>
      <c r="H74" s="43">
        <f>AVERAGE(F75:F77)</f>
        <v>4.7984644913627604E-2</v>
      </c>
      <c r="I74" s="43"/>
      <c r="J74" s="44"/>
      <c r="K74" s="44"/>
      <c r="L74" s="16"/>
    </row>
    <row r="75" spans="1:12">
      <c r="A75" s="1" t="s">
        <v>3565</v>
      </c>
      <c r="B75" s="7">
        <v>54.38</v>
      </c>
      <c r="C75" s="7">
        <v>56.74</v>
      </c>
      <c r="D75" s="16">
        <f>(C75-B75)/B75</f>
        <v>4.3398308201544673E-2</v>
      </c>
      <c r="E75" s="9">
        <v>57.31</v>
      </c>
      <c r="F75" s="16">
        <f>(C75-E75)/E75</f>
        <v>-9.9459082184610061E-3</v>
      </c>
      <c r="G75" s="40"/>
      <c r="H75" s="16"/>
      <c r="I75" s="16"/>
      <c r="J75" s="9"/>
      <c r="K75" s="9"/>
      <c r="L75" s="16"/>
    </row>
    <row r="76" spans="1:12">
      <c r="A76" s="1" t="s">
        <v>3566</v>
      </c>
      <c r="B76" s="7">
        <v>57.68</v>
      </c>
      <c r="C76" s="7">
        <v>60.04</v>
      </c>
      <c r="D76" s="16">
        <f>(C76-B76)/B76</f>
        <v>4.0915395284327312E-2</v>
      </c>
      <c r="E76" s="9">
        <v>57.31</v>
      </c>
      <c r="F76" s="16">
        <f>(C76-E76)/E76</f>
        <v>4.7635665677892111E-2</v>
      </c>
      <c r="G76" s="40"/>
      <c r="H76" s="16"/>
      <c r="I76" s="16"/>
      <c r="J76" s="9"/>
      <c r="K76" s="9"/>
      <c r="L76" s="16"/>
    </row>
    <row r="77" spans="1:12">
      <c r="A77" s="1" t="s">
        <v>3567</v>
      </c>
      <c r="B77" s="7">
        <v>61.04</v>
      </c>
      <c r="C77" s="7">
        <v>63.4</v>
      </c>
      <c r="D77" s="16">
        <f>(C77-B77)/B77</f>
        <v>3.8663171690694616E-2</v>
      </c>
      <c r="E77" s="9">
        <v>57.31</v>
      </c>
      <c r="F77" s="16">
        <f>(C77-E77)/E77</f>
        <v>0.10626417728145168</v>
      </c>
      <c r="G77" s="40"/>
      <c r="H77" s="16"/>
      <c r="I77" s="16"/>
      <c r="J77" s="9"/>
      <c r="K77" s="9"/>
      <c r="L77" s="16"/>
    </row>
    <row r="78" spans="1:12">
      <c r="A78" s="143"/>
      <c r="B78" s="143"/>
      <c r="C78" s="7"/>
      <c r="D78" s="16"/>
      <c r="E78" s="9"/>
      <c r="F78" s="16"/>
      <c r="G78" s="40"/>
      <c r="H78" s="16"/>
      <c r="I78" s="16"/>
      <c r="J78" s="9"/>
      <c r="K78" s="9"/>
      <c r="L78" s="16"/>
    </row>
    <row r="79" spans="1:12">
      <c r="A79" s="2" t="s">
        <v>3568</v>
      </c>
      <c r="B79" s="147" t="s">
        <v>3510</v>
      </c>
      <c r="C79" s="147" t="s">
        <v>3510</v>
      </c>
      <c r="D79" s="43"/>
      <c r="E79" s="44"/>
      <c r="F79" s="43"/>
      <c r="G79" s="23" t="s">
        <v>3983</v>
      </c>
      <c r="H79" s="43">
        <f>AVERAGE(F82:F95)</f>
        <v>-4.4460570875665226E-2</v>
      </c>
      <c r="I79" s="43"/>
      <c r="J79" s="44"/>
      <c r="K79" s="44"/>
      <c r="L79" s="16"/>
    </row>
    <row r="80" spans="1:12" ht="12.75" customHeight="1">
      <c r="A80" s="3" t="s">
        <v>3569</v>
      </c>
      <c r="B80" s="147"/>
      <c r="C80" s="147"/>
      <c r="D80" s="16"/>
      <c r="E80" s="9"/>
      <c r="F80" s="16"/>
      <c r="G80" s="40"/>
      <c r="H80" s="16"/>
      <c r="I80" s="16"/>
      <c r="J80" s="9"/>
      <c r="K80" s="9"/>
      <c r="L80" s="16"/>
    </row>
    <row r="81" spans="1:12">
      <c r="A81" s="2"/>
      <c r="B81" s="147"/>
      <c r="C81" s="147"/>
      <c r="D81" s="16"/>
      <c r="E81" s="9"/>
      <c r="F81" s="16"/>
      <c r="G81" s="40"/>
      <c r="H81" s="16"/>
      <c r="I81" s="16"/>
      <c r="J81" s="9"/>
      <c r="K81" s="9"/>
      <c r="L81" s="16"/>
    </row>
    <row r="82" spans="1:12">
      <c r="A82" s="1" t="s">
        <v>3571</v>
      </c>
      <c r="B82" s="7">
        <v>25.66</v>
      </c>
      <c r="C82" s="7">
        <v>25.66</v>
      </c>
      <c r="D82" s="16">
        <f t="shared" ref="D82:D95" si="0">(C82-B82)/B82</f>
        <v>0</v>
      </c>
      <c r="E82" s="9">
        <v>31.8</v>
      </c>
      <c r="F82" s="16">
        <f t="shared" ref="F82:F95" si="1">(C82-E82)/E82</f>
        <v>-0.19308176100628932</v>
      </c>
      <c r="G82" s="40"/>
      <c r="H82" s="16"/>
      <c r="I82" s="16"/>
      <c r="J82" s="9"/>
      <c r="K82" s="9"/>
      <c r="L82" s="16"/>
    </row>
    <row r="83" spans="1:12">
      <c r="A83" s="1" t="s">
        <v>3572</v>
      </c>
      <c r="B83" s="7">
        <v>27.16</v>
      </c>
      <c r="C83" s="7">
        <v>27.16</v>
      </c>
      <c r="D83" s="16">
        <f t="shared" si="0"/>
        <v>0</v>
      </c>
      <c r="E83" s="9">
        <v>31.8</v>
      </c>
      <c r="F83" s="16">
        <f t="shared" si="1"/>
        <v>-0.14591194968553461</v>
      </c>
      <c r="G83" s="40"/>
      <c r="H83" s="16"/>
      <c r="I83" s="16"/>
      <c r="J83" s="9"/>
      <c r="K83" s="9"/>
      <c r="L83" s="16"/>
    </row>
    <row r="84" spans="1:12">
      <c r="A84" s="1" t="s">
        <v>3573</v>
      </c>
      <c r="B84" s="7">
        <v>30.82</v>
      </c>
      <c r="C84" s="7">
        <v>30.82</v>
      </c>
      <c r="D84" s="16">
        <f t="shared" si="0"/>
        <v>0</v>
      </c>
      <c r="E84" s="9">
        <v>31.8</v>
      </c>
      <c r="F84" s="16">
        <f t="shared" si="1"/>
        <v>-3.0817610062893096E-2</v>
      </c>
      <c r="G84" s="40"/>
      <c r="H84" s="16"/>
      <c r="I84" s="16"/>
      <c r="J84" s="9"/>
      <c r="K84" s="9"/>
      <c r="L84" s="16"/>
    </row>
    <row r="85" spans="1:12">
      <c r="A85" s="1" t="s">
        <v>3574</v>
      </c>
      <c r="B85" s="7">
        <v>27.95</v>
      </c>
      <c r="C85" s="7">
        <v>27.95</v>
      </c>
      <c r="D85" s="16">
        <f t="shared" si="0"/>
        <v>0</v>
      </c>
      <c r="E85" s="9">
        <v>31.8</v>
      </c>
      <c r="F85" s="16">
        <f t="shared" si="1"/>
        <v>-0.12106918238993715</v>
      </c>
      <c r="G85" s="40"/>
      <c r="H85" s="16"/>
      <c r="I85" s="16"/>
      <c r="J85" s="9"/>
      <c r="K85" s="9"/>
      <c r="L85" s="16"/>
    </row>
    <row r="86" spans="1:12">
      <c r="A86" s="1" t="s">
        <v>3575</v>
      </c>
      <c r="B86" s="7">
        <v>30.92</v>
      </c>
      <c r="C86" s="7">
        <v>30.92</v>
      </c>
      <c r="D86" s="16">
        <f t="shared" si="0"/>
        <v>0</v>
      </c>
      <c r="E86" s="9">
        <v>31.8</v>
      </c>
      <c r="F86" s="16">
        <f t="shared" si="1"/>
        <v>-2.7672955974842737E-2</v>
      </c>
      <c r="G86" s="40"/>
      <c r="H86" s="16"/>
      <c r="I86" s="16"/>
      <c r="J86" s="9"/>
      <c r="K86" s="9"/>
      <c r="L86" s="16"/>
    </row>
    <row r="87" spans="1:12">
      <c r="A87" s="1" t="s">
        <v>3576</v>
      </c>
      <c r="B87" s="7">
        <v>31.07</v>
      </c>
      <c r="C87" s="7">
        <v>31.07</v>
      </c>
      <c r="D87" s="16">
        <f t="shared" si="0"/>
        <v>0</v>
      </c>
      <c r="E87" s="9">
        <v>31.8</v>
      </c>
      <c r="F87" s="16">
        <f t="shared" si="1"/>
        <v>-2.2955974842767308E-2</v>
      </c>
      <c r="G87" s="40"/>
      <c r="H87" s="16"/>
      <c r="I87" s="16"/>
      <c r="J87" s="9"/>
      <c r="K87" s="9"/>
      <c r="L87" s="16"/>
    </row>
    <row r="88" spans="1:12">
      <c r="A88" s="1" t="s">
        <v>3578</v>
      </c>
      <c r="B88" s="7">
        <v>31.32</v>
      </c>
      <c r="C88" s="7">
        <v>31.32</v>
      </c>
      <c r="D88" s="16">
        <f t="shared" si="0"/>
        <v>0</v>
      </c>
      <c r="E88" s="9">
        <v>31.8</v>
      </c>
      <c r="F88" s="16">
        <f t="shared" si="1"/>
        <v>-1.5094339622641522E-2</v>
      </c>
      <c r="G88" s="40"/>
      <c r="H88" s="16"/>
      <c r="I88" s="16"/>
      <c r="J88" s="9"/>
      <c r="K88" s="9"/>
      <c r="L88" s="16"/>
    </row>
    <row r="89" spans="1:12">
      <c r="A89" s="1" t="s">
        <v>3577</v>
      </c>
      <c r="B89" s="7">
        <v>32.57</v>
      </c>
      <c r="C89" s="7">
        <v>32.57</v>
      </c>
      <c r="D89" s="16">
        <f t="shared" si="0"/>
        <v>0</v>
      </c>
      <c r="E89" s="9">
        <v>31.8</v>
      </c>
      <c r="F89" s="16">
        <f t="shared" si="1"/>
        <v>2.4213836477987409E-2</v>
      </c>
      <c r="G89" s="40"/>
      <c r="H89" s="16"/>
      <c r="I89" s="16"/>
      <c r="J89" s="9"/>
      <c r="K89" s="9"/>
      <c r="L89" s="16"/>
    </row>
    <row r="90" spans="1:12">
      <c r="A90" s="1" t="s">
        <v>3579</v>
      </c>
      <c r="B90" s="7">
        <v>31.62</v>
      </c>
      <c r="C90" s="7">
        <v>31.62</v>
      </c>
      <c r="D90" s="16">
        <f t="shared" si="0"/>
        <v>0</v>
      </c>
      <c r="E90" s="9">
        <v>31.8</v>
      </c>
      <c r="F90" s="16">
        <f t="shared" si="1"/>
        <v>-5.660377358490557E-3</v>
      </c>
      <c r="G90" s="40"/>
      <c r="H90" s="16"/>
      <c r="I90" s="16"/>
      <c r="J90" s="9"/>
      <c r="K90" s="9"/>
      <c r="L90" s="16"/>
    </row>
    <row r="91" spans="1:12">
      <c r="A91" s="1" t="s">
        <v>3580</v>
      </c>
      <c r="B91" s="11">
        <v>29.72</v>
      </c>
      <c r="C91" s="11">
        <v>29.72</v>
      </c>
      <c r="D91" s="16"/>
      <c r="E91" s="9"/>
      <c r="F91" s="16"/>
      <c r="G91" s="40"/>
      <c r="H91" s="16"/>
      <c r="I91" s="16"/>
      <c r="J91" s="9"/>
      <c r="K91" s="9"/>
      <c r="L91" s="16"/>
    </row>
    <row r="92" spans="1:12">
      <c r="A92" s="1" t="s">
        <v>3581</v>
      </c>
      <c r="B92" s="7">
        <v>31.62</v>
      </c>
      <c r="C92" s="7">
        <v>31.62</v>
      </c>
      <c r="D92" s="16">
        <f t="shared" si="0"/>
        <v>0</v>
      </c>
      <c r="E92" s="9">
        <v>31.8</v>
      </c>
      <c r="F92" s="16">
        <f t="shared" si="1"/>
        <v>-5.660377358490557E-3</v>
      </c>
      <c r="G92" s="40"/>
      <c r="H92" s="16"/>
      <c r="I92" s="16"/>
      <c r="J92" s="9"/>
      <c r="K92" s="9"/>
      <c r="L92" s="16"/>
    </row>
    <row r="93" spans="1:12">
      <c r="A93" s="1" t="s">
        <v>3582</v>
      </c>
      <c r="B93" s="7">
        <v>31.32</v>
      </c>
      <c r="C93" s="7">
        <v>31.32</v>
      </c>
      <c r="D93" s="16">
        <f t="shared" si="0"/>
        <v>0</v>
      </c>
      <c r="E93" s="9">
        <v>31.8</v>
      </c>
      <c r="F93" s="16">
        <f t="shared" si="1"/>
        <v>-1.5094339622641522E-2</v>
      </c>
      <c r="G93" s="40"/>
      <c r="H93" s="16"/>
      <c r="I93" s="16"/>
      <c r="J93" s="9"/>
      <c r="K93" s="9"/>
      <c r="L93" s="16"/>
    </row>
    <row r="94" spans="1:12">
      <c r="A94" s="1" t="s">
        <v>3583</v>
      </c>
      <c r="B94" s="7">
        <v>30.97</v>
      </c>
      <c r="C94" s="7">
        <v>30.97</v>
      </c>
      <c r="D94" s="16">
        <f t="shared" si="0"/>
        <v>0</v>
      </c>
      <c r="E94" s="9">
        <v>31.8</v>
      </c>
      <c r="F94" s="16">
        <f t="shared" si="1"/>
        <v>-2.6100628930817667E-2</v>
      </c>
      <c r="G94" s="40"/>
      <c r="H94" s="16"/>
      <c r="I94" s="16"/>
      <c r="J94" s="9"/>
      <c r="K94" s="9"/>
      <c r="L94" s="16"/>
    </row>
    <row r="95" spans="1:12">
      <c r="A95" s="1" t="s">
        <v>3584</v>
      </c>
      <c r="B95" s="7">
        <v>32.020000000000003</v>
      </c>
      <c r="C95" s="7">
        <v>32.020000000000003</v>
      </c>
      <c r="D95" s="16">
        <f t="shared" si="0"/>
        <v>0</v>
      </c>
      <c r="E95" s="9">
        <v>31.8</v>
      </c>
      <c r="F95" s="16">
        <f t="shared" si="1"/>
        <v>6.9182389937107675E-3</v>
      </c>
      <c r="G95" s="40"/>
      <c r="H95" s="16"/>
      <c r="I95" s="16"/>
      <c r="J95" s="9"/>
      <c r="K95" s="9"/>
      <c r="L95" s="16"/>
    </row>
    <row r="96" spans="1:12">
      <c r="A96" s="143"/>
      <c r="B96" s="143"/>
      <c r="C96" s="7"/>
      <c r="D96" s="16"/>
      <c r="E96" s="9"/>
      <c r="F96" s="16"/>
      <c r="G96" s="40"/>
      <c r="H96" s="16"/>
      <c r="I96" s="16"/>
      <c r="J96" s="9"/>
      <c r="K96" s="9"/>
      <c r="L96" s="16"/>
    </row>
    <row r="97" spans="1:12" ht="38.25">
      <c r="A97" s="2" t="s">
        <v>3585</v>
      </c>
      <c r="B97" s="12" t="s">
        <v>3689</v>
      </c>
      <c r="C97" s="31" t="s">
        <v>3480</v>
      </c>
      <c r="D97" s="43"/>
      <c r="E97" s="44"/>
      <c r="F97" s="43"/>
      <c r="G97" s="23" t="s">
        <v>3983</v>
      </c>
      <c r="H97" s="43">
        <f>AVERAGE(F98:F100)</f>
        <v>-7.6331395690213549E-4</v>
      </c>
      <c r="I97" s="43"/>
      <c r="J97" s="44"/>
      <c r="K97" s="44"/>
      <c r="L97" s="16"/>
    </row>
    <row r="98" spans="1:12" ht="12.75" customHeight="1">
      <c r="A98" s="1" t="s">
        <v>3784</v>
      </c>
      <c r="B98" s="7">
        <v>57.06</v>
      </c>
      <c r="C98" s="7">
        <v>54.56</v>
      </c>
      <c r="D98" s="16">
        <f>(C98-B98)/B98</f>
        <v>-4.3813529617946018E-2</v>
      </c>
      <c r="E98" s="9">
        <v>56.77</v>
      </c>
      <c r="F98" s="16">
        <f>(C98-E98)/E98</f>
        <v>-3.8929011802008119E-2</v>
      </c>
      <c r="G98" s="40"/>
      <c r="H98" s="16"/>
      <c r="I98" s="16"/>
      <c r="J98" s="9"/>
      <c r="K98" s="9"/>
      <c r="L98" s="16"/>
    </row>
    <row r="99" spans="1:12">
      <c r="A99" s="1" t="s">
        <v>3588</v>
      </c>
      <c r="B99" s="7">
        <v>59.56</v>
      </c>
      <c r="C99" s="7">
        <v>57.06</v>
      </c>
      <c r="D99" s="16">
        <f>(C99-B99)/B99</f>
        <v>-4.1974479516453993E-2</v>
      </c>
      <c r="E99" s="9">
        <v>56.77</v>
      </c>
      <c r="F99" s="16">
        <f>(C99-E99)/E99</f>
        <v>5.1083318654218625E-3</v>
      </c>
      <c r="G99" s="40"/>
      <c r="H99" s="16"/>
      <c r="I99" s="16"/>
      <c r="J99" s="9"/>
      <c r="K99" s="9"/>
      <c r="L99" s="16"/>
    </row>
    <row r="100" spans="1:12" ht="25.5">
      <c r="A100" s="1" t="s">
        <v>3589</v>
      </c>
      <c r="B100" s="7">
        <v>61.06</v>
      </c>
      <c r="C100" s="7">
        <v>58.56</v>
      </c>
      <c r="D100" s="16">
        <f>(C100-B100)/B100</f>
        <v>-4.0943334425155582E-2</v>
      </c>
      <c r="E100" s="9">
        <v>56.77</v>
      </c>
      <c r="F100" s="16">
        <f>(C100-E100)/E100</f>
        <v>3.1530738065879853E-2</v>
      </c>
      <c r="G100" s="40"/>
      <c r="H100" s="16"/>
      <c r="I100" s="16"/>
      <c r="J100" s="9"/>
      <c r="K100" s="9"/>
      <c r="L100" s="16"/>
    </row>
    <row r="101" spans="1:12">
      <c r="A101" s="143"/>
      <c r="B101" s="143"/>
      <c r="C101" s="7"/>
      <c r="D101" s="16"/>
      <c r="E101" s="9"/>
      <c r="F101" s="16"/>
      <c r="G101" s="40"/>
      <c r="H101" s="16"/>
      <c r="I101" s="16"/>
      <c r="J101" s="9"/>
      <c r="K101" s="9"/>
      <c r="L101" s="16"/>
    </row>
    <row r="102" spans="1:12" ht="38.25">
      <c r="A102" s="2" t="s">
        <v>3925</v>
      </c>
      <c r="B102" s="7"/>
      <c r="C102" s="31" t="s">
        <v>3499</v>
      </c>
      <c r="D102" s="43"/>
      <c r="E102" s="44"/>
      <c r="F102" s="43"/>
      <c r="G102" s="23" t="s">
        <v>3984</v>
      </c>
      <c r="H102" s="43"/>
      <c r="I102" s="43">
        <f>AVERAGE(F103:F106)</f>
        <v>0</v>
      </c>
      <c r="J102" s="44"/>
      <c r="K102" s="44"/>
      <c r="L102" s="16"/>
    </row>
    <row r="103" spans="1:12">
      <c r="A103" s="1" t="s">
        <v>3786</v>
      </c>
      <c r="B103" s="7">
        <v>49.7</v>
      </c>
      <c r="C103" s="7">
        <v>25.33</v>
      </c>
      <c r="D103" s="16">
        <f>(C103-B103)/B103</f>
        <v>-0.49034205231388334</v>
      </c>
      <c r="E103" s="9">
        <v>25.33</v>
      </c>
      <c r="F103" s="16">
        <f>(C103-E103)/E103</f>
        <v>0</v>
      </c>
      <c r="G103" s="40"/>
      <c r="H103" s="16"/>
      <c r="I103" s="16"/>
      <c r="J103" s="9"/>
      <c r="K103" s="9"/>
      <c r="L103" s="16"/>
    </row>
    <row r="104" spans="1:12">
      <c r="A104" s="1" t="s">
        <v>3787</v>
      </c>
      <c r="B104" s="7">
        <v>50.7</v>
      </c>
      <c r="C104" s="7">
        <v>25.33</v>
      </c>
      <c r="D104" s="16">
        <f>(C104-B104)/B104</f>
        <v>-0.50039447731755426</v>
      </c>
      <c r="E104" s="9">
        <v>25.33</v>
      </c>
      <c r="F104" s="16">
        <f>(C104-E104)/E104</f>
        <v>0</v>
      </c>
      <c r="G104" s="40"/>
      <c r="H104" s="16"/>
      <c r="I104" s="16"/>
      <c r="J104" s="9"/>
      <c r="K104" s="9"/>
      <c r="L104" s="16"/>
    </row>
    <row r="105" spans="1:12">
      <c r="A105" s="1" t="s">
        <v>3788</v>
      </c>
      <c r="B105" s="7">
        <v>53.01</v>
      </c>
      <c r="C105" s="7">
        <v>25.33</v>
      </c>
      <c r="D105" s="16">
        <f>(C105-B105)/B105</f>
        <v>-0.52216562912657993</v>
      </c>
      <c r="E105" s="9">
        <v>25.33</v>
      </c>
      <c r="F105" s="16">
        <f>(C105-E105)/E105</f>
        <v>0</v>
      </c>
      <c r="G105" s="40"/>
      <c r="H105" s="16"/>
      <c r="I105" s="16"/>
      <c r="J105" s="9"/>
      <c r="K105" s="9"/>
      <c r="L105" s="16"/>
    </row>
    <row r="106" spans="1:12">
      <c r="A106" s="1" t="s">
        <v>3789</v>
      </c>
      <c r="B106" s="7">
        <v>56.65</v>
      </c>
      <c r="C106" s="7">
        <v>25.33</v>
      </c>
      <c r="D106" s="16">
        <f>(C106-B106)/B106</f>
        <v>-0.55286849073256839</v>
      </c>
      <c r="E106" s="9">
        <v>25.33</v>
      </c>
      <c r="F106" s="16">
        <f>(C106-E106)/E106</f>
        <v>0</v>
      </c>
      <c r="G106" s="40"/>
      <c r="H106" s="16"/>
      <c r="I106" s="16"/>
      <c r="J106" s="9"/>
      <c r="K106" s="9"/>
      <c r="L106" s="16"/>
    </row>
    <row r="107" spans="1:12">
      <c r="A107" s="143"/>
      <c r="B107" s="143"/>
      <c r="C107" s="7"/>
      <c r="D107" s="16"/>
      <c r="E107" s="9"/>
      <c r="F107" s="16"/>
      <c r="G107" s="40"/>
      <c r="H107" s="16"/>
      <c r="I107" s="16"/>
      <c r="J107" s="9"/>
      <c r="K107" s="9"/>
      <c r="L107" s="16"/>
    </row>
    <row r="108" spans="1:12" ht="12.75" customHeight="1">
      <c r="A108" s="2" t="s">
        <v>3592</v>
      </c>
      <c r="B108" s="147" t="s">
        <v>3510</v>
      </c>
      <c r="C108" s="147" t="s">
        <v>3510</v>
      </c>
      <c r="D108" s="43"/>
      <c r="E108" s="44"/>
      <c r="F108" s="43"/>
      <c r="G108" s="23" t="s">
        <v>3983</v>
      </c>
      <c r="H108" s="43">
        <f>AVERAGE(F110:F161)</f>
        <v>-1.0724677843979437E-2</v>
      </c>
      <c r="I108" s="43"/>
      <c r="J108" s="44"/>
      <c r="K108" s="44"/>
      <c r="L108" s="16"/>
    </row>
    <row r="109" spans="1:12" ht="12.75" customHeight="1">
      <c r="A109" s="3" t="s">
        <v>3569</v>
      </c>
      <c r="B109" s="147"/>
      <c r="C109" s="147"/>
      <c r="D109" s="16"/>
      <c r="E109" s="9"/>
      <c r="F109" s="16"/>
      <c r="G109" s="40"/>
      <c r="H109" s="16"/>
      <c r="I109" s="16"/>
      <c r="J109" s="9"/>
      <c r="K109" s="9"/>
      <c r="L109" s="16"/>
    </row>
    <row r="110" spans="1:12">
      <c r="A110" s="1" t="s">
        <v>3573</v>
      </c>
      <c r="B110" s="7">
        <v>41.33</v>
      </c>
      <c r="C110" s="7">
        <v>43.08</v>
      </c>
      <c r="D110" s="16">
        <f t="shared" ref="D110:D125" si="2">(C110-B110)/B110</f>
        <v>4.2342124364868138E-2</v>
      </c>
      <c r="E110" s="9">
        <v>51.55</v>
      </c>
      <c r="F110" s="16">
        <f t="shared" ref="F110:F125" si="3">(C110-E110)/E110</f>
        <v>-0.16430649854510182</v>
      </c>
      <c r="G110" s="40"/>
      <c r="H110" s="16"/>
      <c r="I110" s="16"/>
      <c r="J110" s="9"/>
      <c r="K110" s="9"/>
      <c r="L110" s="16"/>
    </row>
    <row r="111" spans="1:12">
      <c r="A111" s="1" t="s">
        <v>3574</v>
      </c>
      <c r="B111" s="7">
        <v>44.09</v>
      </c>
      <c r="C111" s="7">
        <v>45.84</v>
      </c>
      <c r="D111" s="16">
        <f t="shared" si="2"/>
        <v>3.9691540031753229E-2</v>
      </c>
      <c r="E111" s="9">
        <v>51.55</v>
      </c>
      <c r="F111" s="16">
        <f t="shared" si="3"/>
        <v>-0.11076624636275449</v>
      </c>
      <c r="G111" s="40"/>
      <c r="H111" s="16"/>
      <c r="I111" s="16"/>
      <c r="J111" s="9"/>
      <c r="K111" s="9"/>
      <c r="L111" s="16"/>
    </row>
    <row r="112" spans="1:12">
      <c r="A112" s="1" t="s">
        <v>3575</v>
      </c>
      <c r="B112" s="7">
        <v>44.62</v>
      </c>
      <c r="C112" s="7">
        <v>46.37</v>
      </c>
      <c r="D112" s="16">
        <f t="shared" si="2"/>
        <v>3.9220080681308833E-2</v>
      </c>
      <c r="E112" s="9">
        <v>51.55</v>
      </c>
      <c r="F112" s="16">
        <f t="shared" si="3"/>
        <v>-0.10048496605237633</v>
      </c>
      <c r="G112" s="40"/>
      <c r="H112" s="16"/>
      <c r="I112" s="16"/>
      <c r="J112" s="9"/>
      <c r="K112" s="9"/>
      <c r="L112" s="16"/>
    </row>
    <row r="113" spans="1:12">
      <c r="A113" s="1" t="s">
        <v>3576</v>
      </c>
      <c r="B113" s="7">
        <v>44.89</v>
      </c>
      <c r="C113" s="7">
        <v>46.64</v>
      </c>
      <c r="D113" s="16">
        <f t="shared" si="2"/>
        <v>3.8984183559812875E-2</v>
      </c>
      <c r="E113" s="9">
        <v>51.55</v>
      </c>
      <c r="F113" s="16">
        <f t="shared" si="3"/>
        <v>-9.5247332686711872E-2</v>
      </c>
      <c r="G113" s="40"/>
      <c r="H113" s="16"/>
      <c r="I113" s="16"/>
      <c r="J113" s="9"/>
      <c r="K113" s="9"/>
      <c r="L113" s="16"/>
    </row>
    <row r="114" spans="1:12">
      <c r="A114" s="1" t="s">
        <v>3577</v>
      </c>
      <c r="B114" s="7">
        <v>45.63</v>
      </c>
      <c r="C114" s="7">
        <v>47.38</v>
      </c>
      <c r="D114" s="16">
        <f t="shared" si="2"/>
        <v>3.8351961428884501E-2</v>
      </c>
      <c r="E114" s="9">
        <v>51.55</v>
      </c>
      <c r="F114" s="16">
        <f t="shared" si="3"/>
        <v>-8.0892337536372358E-2</v>
      </c>
      <c r="G114" s="40"/>
      <c r="H114" s="16"/>
      <c r="I114" s="16"/>
      <c r="J114" s="9"/>
      <c r="K114" s="9"/>
      <c r="L114" s="16"/>
    </row>
    <row r="115" spans="1:12">
      <c r="A115" s="1" t="s">
        <v>3579</v>
      </c>
      <c r="B115" s="7">
        <v>45.93</v>
      </c>
      <c r="C115" s="7">
        <v>47.68</v>
      </c>
      <c r="D115" s="16">
        <f t="shared" si="2"/>
        <v>3.8101458741563246E-2</v>
      </c>
      <c r="E115" s="9">
        <v>51.55</v>
      </c>
      <c r="F115" s="16">
        <f t="shared" si="3"/>
        <v>-7.5072744907856398E-2</v>
      </c>
      <c r="G115" s="40"/>
      <c r="H115" s="16"/>
      <c r="I115" s="16"/>
      <c r="J115" s="9"/>
      <c r="K115" s="9"/>
      <c r="L115" s="16"/>
    </row>
    <row r="116" spans="1:12" ht="12.75" customHeight="1">
      <c r="A116" s="1" t="s">
        <v>3580</v>
      </c>
      <c r="B116" s="7">
        <v>46.1</v>
      </c>
      <c r="C116" s="7">
        <v>47.85</v>
      </c>
      <c r="D116" s="16">
        <f t="shared" si="2"/>
        <v>3.7960954446854663E-2</v>
      </c>
      <c r="E116" s="9">
        <v>51.55</v>
      </c>
      <c r="F116" s="16">
        <f t="shared" si="3"/>
        <v>-7.1774975751697306E-2</v>
      </c>
      <c r="G116" s="40"/>
      <c r="H116" s="16"/>
      <c r="I116" s="16"/>
      <c r="J116" s="9"/>
      <c r="K116" s="9"/>
      <c r="L116" s="16"/>
    </row>
    <row r="117" spans="1:12">
      <c r="A117" s="1" t="s">
        <v>3593</v>
      </c>
      <c r="B117" s="7">
        <v>46.35</v>
      </c>
      <c r="C117" s="7">
        <v>48.1</v>
      </c>
      <c r="D117" s="16">
        <f t="shared" si="2"/>
        <v>3.7756202804746494E-2</v>
      </c>
      <c r="E117" s="9">
        <v>51.55</v>
      </c>
      <c r="F117" s="16">
        <f t="shared" si="3"/>
        <v>-6.6925315227933962E-2</v>
      </c>
      <c r="G117" s="40"/>
      <c r="H117" s="16"/>
      <c r="I117" s="16"/>
      <c r="J117" s="9"/>
      <c r="K117" s="9"/>
      <c r="L117" s="16"/>
    </row>
    <row r="118" spans="1:12">
      <c r="A118" s="1" t="s">
        <v>3594</v>
      </c>
      <c r="B118" s="7">
        <v>46.94</v>
      </c>
      <c r="C118" s="7">
        <v>48.69</v>
      </c>
      <c r="D118" s="16">
        <f t="shared" si="2"/>
        <v>3.7281636131231359E-2</v>
      </c>
      <c r="E118" s="9">
        <v>51.55</v>
      </c>
      <c r="F118" s="16">
        <f t="shared" si="3"/>
        <v>-5.548011639185256E-2</v>
      </c>
      <c r="G118" s="40"/>
      <c r="H118" s="16"/>
      <c r="I118" s="16"/>
      <c r="J118" s="9"/>
      <c r="K118" s="9"/>
      <c r="L118" s="16"/>
    </row>
    <row r="119" spans="1:12">
      <c r="A119" s="1" t="s">
        <v>3595</v>
      </c>
      <c r="B119" s="7">
        <v>47.26</v>
      </c>
      <c r="C119" s="7">
        <v>49.01</v>
      </c>
      <c r="D119" s="16">
        <f t="shared" si="2"/>
        <v>3.7029200169276348E-2</v>
      </c>
      <c r="E119" s="9">
        <v>51.55</v>
      </c>
      <c r="F119" s="16">
        <f t="shared" si="3"/>
        <v>-4.9272550921435489E-2</v>
      </c>
      <c r="G119" s="40"/>
      <c r="H119" s="16"/>
      <c r="I119" s="16"/>
      <c r="J119" s="9"/>
      <c r="K119" s="9"/>
      <c r="L119" s="16"/>
    </row>
    <row r="120" spans="1:12">
      <c r="A120" s="1" t="s">
        <v>3596</v>
      </c>
      <c r="B120" s="7">
        <v>47.61</v>
      </c>
      <c r="C120" s="7">
        <v>49.36</v>
      </c>
      <c r="D120" s="16">
        <f t="shared" si="2"/>
        <v>3.6756983826927117E-2</v>
      </c>
      <c r="E120" s="9">
        <v>51.55</v>
      </c>
      <c r="F120" s="16">
        <f t="shared" si="3"/>
        <v>-4.2483026188166788E-2</v>
      </c>
      <c r="G120" s="40"/>
      <c r="H120" s="16"/>
      <c r="I120" s="16"/>
      <c r="J120" s="9"/>
      <c r="K120" s="9"/>
      <c r="L120" s="16"/>
    </row>
    <row r="121" spans="1:12">
      <c r="A121" s="1" t="s">
        <v>3597</v>
      </c>
      <c r="B121" s="7">
        <v>47.8</v>
      </c>
      <c r="C121" s="7">
        <v>49.55</v>
      </c>
      <c r="D121" s="16">
        <f t="shared" si="2"/>
        <v>3.6610878661087871E-2</v>
      </c>
      <c r="E121" s="9">
        <v>51.55</v>
      </c>
      <c r="F121" s="16">
        <f t="shared" si="3"/>
        <v>-3.8797284190106696E-2</v>
      </c>
      <c r="G121" s="40"/>
      <c r="H121" s="16"/>
      <c r="I121" s="16"/>
      <c r="J121" s="9"/>
      <c r="K121" s="9"/>
      <c r="L121" s="16"/>
    </row>
    <row r="122" spans="1:12">
      <c r="A122" s="1" t="s">
        <v>3598</v>
      </c>
      <c r="B122" s="7">
        <v>48.04</v>
      </c>
      <c r="C122" s="7">
        <v>49.79</v>
      </c>
      <c r="D122" s="16">
        <f t="shared" si="2"/>
        <v>3.6427976686094925E-2</v>
      </c>
      <c r="E122" s="9">
        <v>51.55</v>
      </c>
      <c r="F122" s="16">
        <f t="shared" si="3"/>
        <v>-3.4141610087293855E-2</v>
      </c>
      <c r="G122" s="40"/>
      <c r="H122" s="16"/>
      <c r="I122" s="16"/>
      <c r="J122" s="9"/>
      <c r="K122" s="9"/>
      <c r="L122" s="16"/>
    </row>
    <row r="123" spans="1:12">
      <c r="A123" s="1" t="s">
        <v>3599</v>
      </c>
      <c r="B123" s="7">
        <v>49.68</v>
      </c>
      <c r="C123" s="7">
        <v>51.43</v>
      </c>
      <c r="D123" s="16">
        <f t="shared" si="2"/>
        <v>3.5225442834138483E-2</v>
      </c>
      <c r="E123" s="9">
        <v>51.55</v>
      </c>
      <c r="F123" s="16">
        <f t="shared" si="3"/>
        <v>-2.327837051406352E-3</v>
      </c>
      <c r="G123" s="40"/>
      <c r="H123" s="16"/>
      <c r="I123" s="16"/>
      <c r="J123" s="9"/>
      <c r="K123" s="9"/>
      <c r="L123" s="16"/>
    </row>
    <row r="124" spans="1:12">
      <c r="A124" s="1" t="s">
        <v>3600</v>
      </c>
      <c r="B124" s="7">
        <v>50.49</v>
      </c>
      <c r="C124" s="7">
        <v>52.24</v>
      </c>
      <c r="D124" s="16">
        <f t="shared" si="2"/>
        <v>3.4660328777975834E-2</v>
      </c>
      <c r="E124" s="9">
        <v>51.55</v>
      </c>
      <c r="F124" s="16">
        <f t="shared" si="3"/>
        <v>1.3385063045586903E-2</v>
      </c>
      <c r="G124" s="40"/>
      <c r="H124" s="16"/>
      <c r="I124" s="16"/>
      <c r="J124" s="9"/>
      <c r="K124" s="9"/>
      <c r="L124" s="16"/>
    </row>
    <row r="125" spans="1:12">
      <c r="A125" s="1" t="s">
        <v>3601</v>
      </c>
      <c r="B125" s="7">
        <v>49.68</v>
      </c>
      <c r="C125" s="7">
        <v>51.43</v>
      </c>
      <c r="D125" s="16">
        <f t="shared" si="2"/>
        <v>3.5225442834138483E-2</v>
      </c>
      <c r="E125" s="9">
        <v>51.55</v>
      </c>
      <c r="F125" s="16">
        <f t="shared" si="3"/>
        <v>-2.327837051406352E-3</v>
      </c>
      <c r="G125" s="40"/>
      <c r="H125" s="16"/>
      <c r="I125" s="16"/>
      <c r="J125" s="9"/>
      <c r="K125" s="9"/>
      <c r="L125" s="16"/>
    </row>
    <row r="126" spans="1:12" ht="25.5">
      <c r="A126" s="1" t="s">
        <v>3602</v>
      </c>
      <c r="B126" s="11" t="s">
        <v>3534</v>
      </c>
      <c r="C126" s="11" t="s">
        <v>3534</v>
      </c>
      <c r="D126" s="16"/>
      <c r="E126" s="9"/>
      <c r="F126" s="16"/>
      <c r="G126" s="40"/>
      <c r="H126" s="16"/>
      <c r="I126" s="16"/>
      <c r="J126" s="9"/>
      <c r="K126" s="9"/>
      <c r="L126" s="16"/>
    </row>
    <row r="127" spans="1:12" ht="25.5">
      <c r="A127" s="1" t="s">
        <v>3603</v>
      </c>
      <c r="B127" s="11" t="s">
        <v>3534</v>
      </c>
      <c r="C127" s="11" t="s">
        <v>3534</v>
      </c>
      <c r="D127" s="16"/>
      <c r="E127" s="9"/>
      <c r="F127" s="16"/>
      <c r="G127" s="40"/>
      <c r="H127" s="16"/>
      <c r="I127" s="16"/>
      <c r="J127" s="9"/>
      <c r="K127" s="9"/>
      <c r="L127" s="16"/>
    </row>
    <row r="128" spans="1:12">
      <c r="A128" s="143"/>
      <c r="B128" s="143"/>
      <c r="C128" s="7"/>
      <c r="D128" s="16"/>
      <c r="E128" s="9"/>
      <c r="F128" s="16"/>
      <c r="G128" s="40"/>
      <c r="H128" s="16"/>
      <c r="I128" s="16"/>
      <c r="J128" s="9"/>
      <c r="K128" s="9"/>
      <c r="L128" s="16"/>
    </row>
    <row r="129" spans="1:12" ht="25.5">
      <c r="A129" s="2" t="s">
        <v>3691</v>
      </c>
      <c r="B129" s="147" t="s">
        <v>3510</v>
      </c>
      <c r="C129" s="147" t="s">
        <v>3510</v>
      </c>
      <c r="D129" s="16"/>
      <c r="E129" s="9"/>
      <c r="F129" s="16"/>
      <c r="G129" s="40"/>
      <c r="H129" s="16"/>
      <c r="I129" s="16"/>
      <c r="J129" s="9"/>
      <c r="K129" s="9"/>
      <c r="L129" s="16"/>
    </row>
    <row r="130" spans="1:12" ht="12.75" customHeight="1">
      <c r="A130" s="3" t="s">
        <v>3569</v>
      </c>
      <c r="B130" s="147"/>
      <c r="C130" s="147"/>
      <c r="D130" s="16"/>
      <c r="E130" s="9"/>
      <c r="F130" s="16"/>
      <c r="G130" s="40"/>
      <c r="H130" s="16"/>
      <c r="I130" s="16"/>
      <c r="J130" s="9"/>
      <c r="K130" s="9"/>
      <c r="L130" s="16"/>
    </row>
    <row r="131" spans="1:12">
      <c r="A131" s="1" t="s">
        <v>3573</v>
      </c>
      <c r="B131" s="7">
        <v>56.63</v>
      </c>
      <c r="C131" s="7">
        <v>58.38</v>
      </c>
      <c r="D131" s="16">
        <f t="shared" ref="D131:D142" si="4">(C131-B131)/B131</f>
        <v>3.0902348578491962E-2</v>
      </c>
      <c r="E131" s="9">
        <v>51.55</v>
      </c>
      <c r="F131" s="16">
        <f t="shared" ref="F131:F142" si="5">(C131-E131)/E131</f>
        <v>0.13249272550921445</v>
      </c>
      <c r="G131" s="40"/>
      <c r="H131" s="16"/>
      <c r="I131" s="16"/>
      <c r="J131" s="9"/>
      <c r="K131" s="9"/>
      <c r="L131" s="16"/>
    </row>
    <row r="132" spans="1:12">
      <c r="A132" s="1" t="s">
        <v>3605</v>
      </c>
      <c r="B132" s="7">
        <v>50.46</v>
      </c>
      <c r="C132" s="7">
        <v>52.21</v>
      </c>
      <c r="D132" s="16">
        <f t="shared" si="4"/>
        <v>3.4680935394371781E-2</v>
      </c>
      <c r="E132" s="9">
        <v>51.55</v>
      </c>
      <c r="F132" s="16">
        <f t="shared" si="5"/>
        <v>1.2803103782735281E-2</v>
      </c>
      <c r="G132" s="40"/>
      <c r="H132" s="16"/>
      <c r="I132" s="16"/>
      <c r="J132" s="9"/>
      <c r="K132" s="9"/>
      <c r="L132" s="16"/>
    </row>
    <row r="133" spans="1:12">
      <c r="A133" s="1" t="s">
        <v>3606</v>
      </c>
      <c r="B133" s="7">
        <v>48.5</v>
      </c>
      <c r="C133" s="7">
        <v>50.25</v>
      </c>
      <c r="D133" s="16">
        <f t="shared" si="4"/>
        <v>3.608247422680412E-2</v>
      </c>
      <c r="E133" s="9">
        <v>51.55</v>
      </c>
      <c r="F133" s="16">
        <f t="shared" si="5"/>
        <v>-2.5218234723569297E-2</v>
      </c>
      <c r="G133" s="40"/>
      <c r="H133" s="16"/>
      <c r="I133" s="16"/>
      <c r="J133" s="9"/>
      <c r="K133" s="9"/>
      <c r="L133" s="16"/>
    </row>
    <row r="134" spans="1:12">
      <c r="A134" s="1" t="s">
        <v>3575</v>
      </c>
      <c r="B134" s="7">
        <v>55.12</v>
      </c>
      <c r="C134" s="7">
        <v>56.87</v>
      </c>
      <c r="D134" s="16">
        <f t="shared" si="4"/>
        <v>3.17489114658926E-2</v>
      </c>
      <c r="E134" s="9">
        <v>51.55</v>
      </c>
      <c r="F134" s="16">
        <f t="shared" si="5"/>
        <v>0.10320077594568382</v>
      </c>
      <c r="G134" s="40"/>
      <c r="H134" s="16"/>
      <c r="I134" s="16"/>
      <c r="J134" s="9"/>
      <c r="K134" s="9"/>
      <c r="L134" s="16"/>
    </row>
    <row r="135" spans="1:12">
      <c r="A135" s="1" t="s">
        <v>3607</v>
      </c>
      <c r="B135" s="7">
        <v>50.21</v>
      </c>
      <c r="C135" s="7">
        <v>51.96</v>
      </c>
      <c r="D135" s="16">
        <f t="shared" si="4"/>
        <v>3.4853614817765388E-2</v>
      </c>
      <c r="E135" s="9">
        <v>51.55</v>
      </c>
      <c r="F135" s="16">
        <f t="shared" si="5"/>
        <v>7.9534432589719439E-3</v>
      </c>
      <c r="G135" s="40"/>
      <c r="H135" s="16"/>
      <c r="I135" s="16"/>
      <c r="J135" s="9"/>
      <c r="K135" s="9"/>
      <c r="L135" s="16"/>
    </row>
    <row r="136" spans="1:12" ht="12.75" customHeight="1">
      <c r="A136" s="1" t="s">
        <v>3608</v>
      </c>
      <c r="B136" s="7">
        <v>48.29</v>
      </c>
      <c r="C136" s="7">
        <v>50.04</v>
      </c>
      <c r="D136" s="16">
        <f t="shared" si="4"/>
        <v>3.6239387036653553E-2</v>
      </c>
      <c r="E136" s="9">
        <v>51.55</v>
      </c>
      <c r="F136" s="16">
        <f t="shared" si="5"/>
        <v>-2.9291949563530515E-2</v>
      </c>
      <c r="G136" s="40"/>
      <c r="H136" s="16"/>
      <c r="I136" s="16"/>
      <c r="J136" s="9"/>
      <c r="K136" s="9"/>
      <c r="L136" s="16"/>
    </row>
    <row r="137" spans="1:12">
      <c r="A137" s="1" t="s">
        <v>3576</v>
      </c>
      <c r="B137" s="7">
        <v>53.88</v>
      </c>
      <c r="C137" s="7">
        <v>55.63</v>
      </c>
      <c r="D137" s="16">
        <f t="shared" si="4"/>
        <v>3.2479584261321456E-2</v>
      </c>
      <c r="E137" s="9">
        <v>51.55</v>
      </c>
      <c r="F137" s="16">
        <f t="shared" si="5"/>
        <v>7.9146459747817768E-2</v>
      </c>
      <c r="G137" s="40"/>
      <c r="H137" s="16"/>
      <c r="I137" s="16"/>
      <c r="J137" s="9"/>
      <c r="K137" s="9"/>
      <c r="L137" s="16"/>
    </row>
    <row r="138" spans="1:12">
      <c r="A138" s="1" t="s">
        <v>3609</v>
      </c>
      <c r="B138" s="7">
        <v>49.99</v>
      </c>
      <c r="C138" s="7">
        <v>51.74</v>
      </c>
      <c r="D138" s="16">
        <f t="shared" si="4"/>
        <v>3.5007001400280055E-2</v>
      </c>
      <c r="E138" s="9">
        <v>51.55</v>
      </c>
      <c r="F138" s="16">
        <f t="shared" si="5"/>
        <v>3.6857419980602297E-3</v>
      </c>
      <c r="G138" s="40"/>
      <c r="H138" s="16"/>
      <c r="I138" s="16"/>
      <c r="J138" s="9"/>
      <c r="K138" s="9"/>
      <c r="L138" s="16"/>
    </row>
    <row r="139" spans="1:12">
      <c r="A139" s="1" t="s">
        <v>3610</v>
      </c>
      <c r="B139" s="7">
        <v>48.07</v>
      </c>
      <c r="C139" s="7">
        <v>49.82</v>
      </c>
      <c r="D139" s="16">
        <f t="shared" si="4"/>
        <v>3.6405242354899107E-2</v>
      </c>
      <c r="E139" s="9">
        <v>51.55</v>
      </c>
      <c r="F139" s="16">
        <f t="shared" si="5"/>
        <v>-3.3559650824442233E-2</v>
      </c>
      <c r="G139" s="40"/>
      <c r="H139" s="16"/>
      <c r="I139" s="16"/>
      <c r="J139" s="9"/>
      <c r="K139" s="9"/>
      <c r="L139" s="16"/>
    </row>
    <row r="140" spans="1:12">
      <c r="A140" s="1" t="s">
        <v>3611</v>
      </c>
      <c r="B140" s="7">
        <v>49.66</v>
      </c>
      <c r="C140" s="7">
        <v>51.41</v>
      </c>
      <c r="D140" s="16">
        <f t="shared" si="4"/>
        <v>3.5239629480467181E-2</v>
      </c>
      <c r="E140" s="9">
        <v>51.55</v>
      </c>
      <c r="F140" s="16">
        <f t="shared" si="5"/>
        <v>-2.7158098933074797E-3</v>
      </c>
      <c r="G140" s="40"/>
      <c r="H140" s="16"/>
      <c r="I140" s="16"/>
      <c r="J140" s="9"/>
      <c r="K140" s="9"/>
      <c r="L140" s="16"/>
    </row>
    <row r="141" spans="1:12">
      <c r="A141" s="1" t="s">
        <v>3577</v>
      </c>
      <c r="B141" s="7">
        <v>52.15</v>
      </c>
      <c r="C141" s="7">
        <v>53.9</v>
      </c>
      <c r="D141" s="16">
        <f t="shared" si="4"/>
        <v>3.3557046979865772E-2</v>
      </c>
      <c r="E141" s="9">
        <v>51.55</v>
      </c>
      <c r="F141" s="16">
        <f t="shared" si="5"/>
        <v>4.5586808923375396E-2</v>
      </c>
      <c r="G141" s="40"/>
      <c r="H141" s="16"/>
      <c r="I141" s="16"/>
      <c r="J141" s="9"/>
      <c r="K141" s="9"/>
      <c r="L141" s="16"/>
    </row>
    <row r="142" spans="1:12">
      <c r="A142" s="1" t="s">
        <v>3579</v>
      </c>
      <c r="B142" s="7">
        <v>51.05</v>
      </c>
      <c r="C142" s="7">
        <v>52.8</v>
      </c>
      <c r="D142" s="16">
        <f t="shared" si="4"/>
        <v>3.4280117531831543E-2</v>
      </c>
      <c r="E142" s="9">
        <v>51.55</v>
      </c>
      <c r="F142" s="16">
        <f t="shared" si="5"/>
        <v>2.4248302618816685E-2</v>
      </c>
      <c r="G142" s="40"/>
      <c r="H142" s="16"/>
      <c r="I142" s="16"/>
      <c r="J142" s="9"/>
      <c r="K142" s="9"/>
      <c r="L142" s="16"/>
    </row>
    <row r="143" spans="1:12" ht="25.5">
      <c r="A143" s="1" t="s">
        <v>3602</v>
      </c>
      <c r="B143" s="11" t="s">
        <v>3534</v>
      </c>
      <c r="C143" s="11" t="s">
        <v>3534</v>
      </c>
      <c r="D143" s="16"/>
      <c r="E143" s="9"/>
      <c r="F143" s="16"/>
      <c r="G143" s="40"/>
      <c r="H143" s="16"/>
      <c r="I143" s="16"/>
      <c r="J143" s="9"/>
      <c r="K143" s="9"/>
      <c r="L143" s="16"/>
    </row>
    <row r="144" spans="1:12" ht="25.5">
      <c r="A144" s="1" t="s">
        <v>3612</v>
      </c>
      <c r="B144" s="7"/>
      <c r="C144" s="7"/>
      <c r="D144" s="16"/>
      <c r="E144" s="9"/>
      <c r="F144" s="16"/>
      <c r="G144" s="40"/>
      <c r="H144" s="16"/>
      <c r="I144" s="16"/>
      <c r="J144" s="9"/>
      <c r="K144" s="9"/>
      <c r="L144" s="16"/>
    </row>
    <row r="145" spans="1:12">
      <c r="A145" s="143"/>
      <c r="B145" s="143"/>
      <c r="C145" s="7"/>
      <c r="D145" s="16"/>
      <c r="E145" s="9"/>
      <c r="F145" s="16"/>
      <c r="G145" s="40"/>
      <c r="H145" s="16"/>
      <c r="I145" s="16"/>
      <c r="J145" s="9"/>
      <c r="K145" s="9"/>
      <c r="L145" s="16"/>
    </row>
    <row r="146" spans="1:12" ht="25.5">
      <c r="A146" s="2" t="s">
        <v>3693</v>
      </c>
      <c r="B146" s="148" t="s">
        <v>3690</v>
      </c>
      <c r="C146" s="148" t="s">
        <v>3690</v>
      </c>
      <c r="D146" s="16"/>
      <c r="E146" s="9"/>
      <c r="F146" s="16"/>
      <c r="G146" s="23" t="s">
        <v>3983</v>
      </c>
      <c r="H146" s="16"/>
      <c r="I146" s="16"/>
      <c r="J146" s="9"/>
      <c r="K146" s="9"/>
      <c r="L146" s="16"/>
    </row>
    <row r="147" spans="1:12" ht="12.75" customHeight="1">
      <c r="A147" s="3" t="s">
        <v>3569</v>
      </c>
      <c r="B147" s="148"/>
      <c r="C147" s="148"/>
      <c r="D147" s="16"/>
      <c r="E147" s="9"/>
      <c r="F147" s="16"/>
      <c r="G147" s="40"/>
      <c r="H147" s="16"/>
      <c r="I147" s="16"/>
      <c r="J147" s="9"/>
      <c r="K147" s="9"/>
      <c r="L147" s="16"/>
    </row>
    <row r="148" spans="1:12">
      <c r="A148" s="1" t="s">
        <v>3573</v>
      </c>
      <c r="B148" s="7">
        <v>56.1</v>
      </c>
      <c r="C148" s="7">
        <v>57.85</v>
      </c>
      <c r="D148" s="16">
        <f t="shared" ref="D148:D161" si="6">(C148-B148)/B148</f>
        <v>3.1194295900178252E-2</v>
      </c>
      <c r="E148" s="9">
        <v>51.55</v>
      </c>
      <c r="F148" s="16">
        <f t="shared" ref="F148:F161" si="7">(C148-E148)/E148</f>
        <v>0.12221144519883617</v>
      </c>
      <c r="G148" s="40"/>
      <c r="H148" s="16"/>
      <c r="I148" s="16"/>
      <c r="J148" s="9"/>
      <c r="K148" s="9"/>
      <c r="L148" s="16"/>
    </row>
    <row r="149" spans="1:12">
      <c r="A149" s="1" t="s">
        <v>3605</v>
      </c>
      <c r="B149" s="7">
        <v>50.64</v>
      </c>
      <c r="C149" s="7">
        <v>52.39</v>
      </c>
      <c r="D149" s="16">
        <f t="shared" si="6"/>
        <v>3.4557661927330174E-2</v>
      </c>
      <c r="E149" s="9">
        <v>51.55</v>
      </c>
      <c r="F149" s="16">
        <f t="shared" si="7"/>
        <v>1.6294859359844878E-2</v>
      </c>
      <c r="G149" s="40"/>
      <c r="H149" s="16"/>
      <c r="I149" s="16"/>
      <c r="J149" s="9"/>
      <c r="K149" s="9"/>
      <c r="L149" s="16"/>
    </row>
    <row r="150" spans="1:12">
      <c r="A150" s="1" t="s">
        <v>3606</v>
      </c>
      <c r="B150" s="7">
        <v>48.72</v>
      </c>
      <c r="C150" s="7">
        <v>50.47</v>
      </c>
      <c r="D150" s="16">
        <f t="shared" si="6"/>
        <v>3.5919540229885055E-2</v>
      </c>
      <c r="E150" s="9">
        <v>51.55</v>
      </c>
      <c r="F150" s="16">
        <f t="shared" si="7"/>
        <v>-2.0950533462657583E-2</v>
      </c>
      <c r="G150" s="40"/>
      <c r="H150" s="16"/>
      <c r="I150" s="16"/>
      <c r="J150" s="9"/>
      <c r="K150" s="9"/>
      <c r="L150" s="16"/>
    </row>
    <row r="151" spans="1:12">
      <c r="A151" s="1" t="s">
        <v>3575</v>
      </c>
      <c r="B151" s="7">
        <v>54.56</v>
      </c>
      <c r="C151" s="7">
        <v>56.31</v>
      </c>
      <c r="D151" s="16">
        <f t="shared" si="6"/>
        <v>3.2074780058651026E-2</v>
      </c>
      <c r="E151" s="9">
        <v>51.55</v>
      </c>
      <c r="F151" s="16">
        <f t="shared" si="7"/>
        <v>9.2337536372454038E-2</v>
      </c>
      <c r="G151" s="40"/>
      <c r="H151" s="16"/>
      <c r="I151" s="16"/>
      <c r="J151" s="9"/>
      <c r="K151" s="9"/>
      <c r="L151" s="16"/>
    </row>
    <row r="152" spans="1:12">
      <c r="A152" s="1" t="s">
        <v>3607</v>
      </c>
      <c r="B152" s="7">
        <v>50.43</v>
      </c>
      <c r="C152" s="7">
        <v>52.18</v>
      </c>
      <c r="D152" s="16">
        <f t="shared" si="6"/>
        <v>3.4701566527860397E-2</v>
      </c>
      <c r="E152" s="9">
        <v>51.55</v>
      </c>
      <c r="F152" s="16">
        <f t="shared" si="7"/>
        <v>1.2221144519883658E-2</v>
      </c>
      <c r="G152" s="40"/>
      <c r="H152" s="16"/>
      <c r="I152" s="16"/>
      <c r="J152" s="9"/>
      <c r="K152" s="9"/>
      <c r="L152" s="16"/>
    </row>
    <row r="153" spans="1:12">
      <c r="A153" s="1" t="s">
        <v>3608</v>
      </c>
      <c r="B153" s="7">
        <v>48.52</v>
      </c>
      <c r="C153" s="7">
        <v>50.27</v>
      </c>
      <c r="D153" s="16">
        <f t="shared" si="6"/>
        <v>3.6067600989282765E-2</v>
      </c>
      <c r="E153" s="9">
        <v>51.55</v>
      </c>
      <c r="F153" s="16">
        <f t="shared" si="7"/>
        <v>-2.4830261881668168E-2</v>
      </c>
      <c r="G153" s="40"/>
      <c r="H153" s="16"/>
      <c r="I153" s="16"/>
      <c r="J153" s="9"/>
      <c r="K153" s="9"/>
      <c r="L153" s="16"/>
    </row>
    <row r="154" spans="1:12">
      <c r="A154" s="1" t="s">
        <v>3576</v>
      </c>
      <c r="B154" s="7">
        <v>53.11</v>
      </c>
      <c r="C154" s="7">
        <v>54.86</v>
      </c>
      <c r="D154" s="16">
        <f t="shared" si="6"/>
        <v>3.2950480135567693E-2</v>
      </c>
      <c r="E154" s="9">
        <v>51.55</v>
      </c>
      <c r="F154" s="16">
        <f t="shared" si="7"/>
        <v>6.4209505334626618E-2</v>
      </c>
      <c r="G154" s="40"/>
      <c r="H154" s="16"/>
      <c r="I154" s="16"/>
      <c r="J154" s="9"/>
      <c r="K154" s="9"/>
      <c r="L154" s="16"/>
    </row>
    <row r="155" spans="1:12">
      <c r="A155" s="1" t="s">
        <v>3609</v>
      </c>
      <c r="B155" s="7">
        <v>50.21</v>
      </c>
      <c r="C155" s="7">
        <v>51.96</v>
      </c>
      <c r="D155" s="16">
        <f t="shared" si="6"/>
        <v>3.4853614817765388E-2</v>
      </c>
      <c r="E155" s="9">
        <v>51.55</v>
      </c>
      <c r="F155" s="16">
        <f t="shared" si="7"/>
        <v>7.9534432589719439E-3</v>
      </c>
      <c r="G155" s="40"/>
      <c r="H155" s="16"/>
      <c r="I155" s="16"/>
      <c r="J155" s="9"/>
      <c r="K155" s="9"/>
      <c r="L155" s="16"/>
    </row>
    <row r="156" spans="1:12">
      <c r="A156" s="1" t="s">
        <v>3610</v>
      </c>
      <c r="B156" s="7">
        <v>48.29</v>
      </c>
      <c r="C156" s="7">
        <v>50.04</v>
      </c>
      <c r="D156" s="16">
        <f t="shared" si="6"/>
        <v>3.6239387036653553E-2</v>
      </c>
      <c r="E156" s="9">
        <v>51.55</v>
      </c>
      <c r="F156" s="16">
        <f t="shared" si="7"/>
        <v>-2.9291949563530515E-2</v>
      </c>
      <c r="G156" s="40"/>
      <c r="H156" s="16"/>
      <c r="I156" s="16"/>
      <c r="J156" s="9"/>
      <c r="K156" s="9"/>
      <c r="L156" s="16"/>
    </row>
    <row r="157" spans="1:12">
      <c r="A157" s="1" t="s">
        <v>3577</v>
      </c>
      <c r="B157" s="7">
        <v>51.6</v>
      </c>
      <c r="C157" s="7">
        <v>53.35</v>
      </c>
      <c r="D157" s="16">
        <f t="shared" si="6"/>
        <v>3.391472868217054E-2</v>
      </c>
      <c r="E157" s="9">
        <v>51.55</v>
      </c>
      <c r="F157" s="16">
        <f t="shared" si="7"/>
        <v>3.4917555771096107E-2</v>
      </c>
      <c r="G157" s="40"/>
      <c r="H157" s="16"/>
      <c r="I157" s="16"/>
      <c r="J157" s="9"/>
      <c r="K157" s="9"/>
      <c r="L157" s="16"/>
    </row>
    <row r="158" spans="1:12">
      <c r="A158" s="1" t="s">
        <v>3579</v>
      </c>
      <c r="B158" s="7">
        <v>50.49</v>
      </c>
      <c r="C158" s="7">
        <v>52.24</v>
      </c>
      <c r="D158" s="16">
        <f t="shared" si="6"/>
        <v>3.4660328777975834E-2</v>
      </c>
      <c r="E158" s="9">
        <v>51.55</v>
      </c>
      <c r="F158" s="16">
        <f t="shared" si="7"/>
        <v>1.3385063045586903E-2</v>
      </c>
      <c r="G158" s="40"/>
      <c r="H158" s="16"/>
      <c r="I158" s="16"/>
      <c r="J158" s="9"/>
      <c r="K158" s="9"/>
      <c r="L158" s="16"/>
    </row>
    <row r="159" spans="1:12">
      <c r="A159" s="1" t="s">
        <v>3580</v>
      </c>
      <c r="B159" s="7">
        <v>49.38</v>
      </c>
      <c r="C159" s="7">
        <v>51.13</v>
      </c>
      <c r="D159" s="16">
        <f t="shared" si="6"/>
        <v>3.5439449169704332E-2</v>
      </c>
      <c r="E159" s="9">
        <v>51.55</v>
      </c>
      <c r="F159" s="16">
        <f t="shared" si="7"/>
        <v>-8.1474296799223019E-3</v>
      </c>
      <c r="G159" s="40"/>
      <c r="H159" s="16"/>
      <c r="I159" s="16"/>
      <c r="J159" s="9"/>
      <c r="K159" s="9"/>
      <c r="L159" s="16"/>
    </row>
    <row r="160" spans="1:12">
      <c r="A160" s="1" t="s">
        <v>3593</v>
      </c>
      <c r="B160" s="7">
        <v>48.42</v>
      </c>
      <c r="C160" s="7">
        <v>50.17</v>
      </c>
      <c r="D160" s="16">
        <f t="shared" si="6"/>
        <v>3.6142090045435768E-2</v>
      </c>
      <c r="E160" s="9">
        <v>51.55</v>
      </c>
      <c r="F160" s="16">
        <f t="shared" si="7"/>
        <v>-2.6770126091173532E-2</v>
      </c>
      <c r="G160" s="40"/>
      <c r="H160" s="16"/>
      <c r="I160" s="16"/>
      <c r="J160" s="9"/>
      <c r="K160" s="9"/>
      <c r="L160" s="16"/>
    </row>
    <row r="161" spans="1:12">
      <c r="A161" s="1" t="s">
        <v>3594</v>
      </c>
      <c r="B161" s="7">
        <v>47.46</v>
      </c>
      <c r="C161" s="7">
        <v>49.21</v>
      </c>
      <c r="D161" s="16">
        <f t="shared" si="6"/>
        <v>3.687315634218289E-2</v>
      </c>
      <c r="E161" s="9">
        <v>51.55</v>
      </c>
      <c r="F161" s="16">
        <f t="shared" si="7"/>
        <v>-4.5392822502424761E-2</v>
      </c>
      <c r="G161" s="40"/>
      <c r="H161" s="16"/>
      <c r="I161" s="16"/>
      <c r="J161" s="9"/>
      <c r="K161" s="9"/>
      <c r="L161" s="16"/>
    </row>
    <row r="162" spans="1:12">
      <c r="A162" s="1" t="s">
        <v>3614</v>
      </c>
      <c r="B162" s="11" t="s">
        <v>3534</v>
      </c>
      <c r="C162" s="11" t="s">
        <v>3534</v>
      </c>
      <c r="D162" s="16"/>
      <c r="E162" s="9"/>
      <c r="F162" s="16"/>
      <c r="G162" s="40"/>
      <c r="H162" s="16"/>
      <c r="I162" s="16"/>
      <c r="J162" s="9"/>
      <c r="K162" s="9"/>
      <c r="L162" s="16"/>
    </row>
    <row r="163" spans="1:12" ht="25.5">
      <c r="A163" s="1" t="s">
        <v>3615</v>
      </c>
      <c r="B163" s="11" t="s">
        <v>3534</v>
      </c>
      <c r="C163" s="11" t="s">
        <v>3534</v>
      </c>
      <c r="D163" s="16"/>
      <c r="E163" s="9"/>
      <c r="F163" s="16"/>
      <c r="G163" s="40"/>
      <c r="H163" s="16"/>
      <c r="I163" s="16"/>
      <c r="J163" s="9"/>
      <c r="K163" s="9"/>
      <c r="L163" s="16"/>
    </row>
    <row r="164" spans="1:12" ht="12.75" customHeight="1">
      <c r="A164" s="1"/>
      <c r="B164" s="7"/>
      <c r="C164" s="7"/>
      <c r="D164" s="16"/>
      <c r="E164" s="9"/>
      <c r="F164" s="16"/>
      <c r="G164" s="40"/>
      <c r="H164" s="16"/>
      <c r="I164" s="16"/>
      <c r="J164" s="9"/>
      <c r="K164" s="9"/>
      <c r="L164" s="16"/>
    </row>
    <row r="165" spans="1:12">
      <c r="A165" s="143"/>
      <c r="B165" s="143"/>
      <c r="C165" s="7"/>
      <c r="D165" s="16"/>
      <c r="E165" s="9"/>
      <c r="F165" s="16"/>
      <c r="G165" s="40"/>
      <c r="H165" s="16"/>
      <c r="I165" s="16"/>
      <c r="J165" s="9"/>
      <c r="K165" s="9"/>
      <c r="L165" s="16"/>
    </row>
    <row r="166" spans="1:12" ht="12.75" customHeight="1">
      <c r="A166" s="144" t="s">
        <v>3616</v>
      </c>
      <c r="B166" s="144"/>
      <c r="C166" s="31"/>
      <c r="D166" s="43"/>
      <c r="E166" s="44"/>
      <c r="F166" s="43"/>
      <c r="G166" s="23" t="s">
        <v>3983</v>
      </c>
      <c r="H166" s="43">
        <f>AVERAGE(F167:F174)</f>
        <v>-4.5145056246299279E-3</v>
      </c>
      <c r="I166" s="43"/>
      <c r="J166" s="44"/>
      <c r="K166" s="44"/>
      <c r="L166" s="16"/>
    </row>
    <row r="167" spans="1:12" ht="12.75" customHeight="1">
      <c r="A167" s="1" t="s">
        <v>3617</v>
      </c>
      <c r="B167" s="7">
        <v>32.74</v>
      </c>
      <c r="C167" s="7">
        <v>32.74</v>
      </c>
      <c r="D167" s="16">
        <f t="shared" ref="D167:D174" si="8">(C167-B167)/B167</f>
        <v>0</v>
      </c>
      <c r="E167" s="9">
        <v>33.78</v>
      </c>
      <c r="F167" s="16">
        <f t="shared" ref="F167:F174" si="9">(C167-E167)/E167</f>
        <v>-3.0787448194197722E-2</v>
      </c>
      <c r="G167" s="40"/>
      <c r="H167" s="16"/>
      <c r="I167" s="16"/>
      <c r="J167" s="9"/>
      <c r="K167" s="9"/>
      <c r="L167" s="16"/>
    </row>
    <row r="168" spans="1:12">
      <c r="A168" s="1" t="s">
        <v>3618</v>
      </c>
      <c r="B168" s="7">
        <v>33.590000000000003</v>
      </c>
      <c r="C168" s="7">
        <v>33.590000000000003</v>
      </c>
      <c r="D168" s="16">
        <f t="shared" si="8"/>
        <v>0</v>
      </c>
      <c r="E168" s="9">
        <v>33.78</v>
      </c>
      <c r="F168" s="16">
        <f t="shared" si="9"/>
        <v>-5.6246299585552906E-3</v>
      </c>
      <c r="G168" s="40"/>
      <c r="H168" s="16"/>
      <c r="I168" s="16"/>
      <c r="J168" s="9"/>
      <c r="K168" s="9"/>
      <c r="L168" s="16"/>
    </row>
    <row r="169" spans="1:12">
      <c r="A169" s="1" t="s">
        <v>3619</v>
      </c>
      <c r="B169" s="7">
        <v>33.24</v>
      </c>
      <c r="C169" s="7">
        <v>33.24</v>
      </c>
      <c r="D169" s="16">
        <f t="shared" si="8"/>
        <v>0</v>
      </c>
      <c r="E169" s="9">
        <v>33.78</v>
      </c>
      <c r="F169" s="16">
        <f t="shared" si="9"/>
        <v>-1.598579040852573E-2</v>
      </c>
      <c r="G169" s="40"/>
      <c r="H169" s="16"/>
      <c r="I169" s="16"/>
      <c r="J169" s="9"/>
      <c r="K169" s="9"/>
      <c r="L169" s="16"/>
    </row>
    <row r="170" spans="1:12">
      <c r="A170" s="1" t="s">
        <v>3620</v>
      </c>
      <c r="B170" s="7">
        <v>33.74</v>
      </c>
      <c r="C170" s="7">
        <v>33.74</v>
      </c>
      <c r="D170" s="16">
        <f t="shared" si="8"/>
        <v>0</v>
      </c>
      <c r="E170" s="9">
        <v>33.78</v>
      </c>
      <c r="F170" s="16">
        <f t="shared" si="9"/>
        <v>-1.1841326228537344E-3</v>
      </c>
      <c r="G170" s="40"/>
      <c r="H170" s="16"/>
      <c r="I170" s="16"/>
      <c r="J170" s="9"/>
      <c r="K170" s="9"/>
      <c r="L170" s="16"/>
    </row>
    <row r="171" spans="1:12">
      <c r="A171" s="1" t="s">
        <v>3621</v>
      </c>
      <c r="B171" s="7">
        <v>34.74</v>
      </c>
      <c r="C171" s="7">
        <v>34.74</v>
      </c>
      <c r="D171" s="16">
        <f t="shared" si="8"/>
        <v>0</v>
      </c>
      <c r="E171" s="9">
        <v>33.78</v>
      </c>
      <c r="F171" s="16">
        <f t="shared" si="9"/>
        <v>2.8419182948490256E-2</v>
      </c>
      <c r="G171" s="40"/>
      <c r="H171" s="16"/>
      <c r="I171" s="16"/>
      <c r="J171" s="9"/>
      <c r="K171" s="9"/>
      <c r="L171" s="16"/>
    </row>
    <row r="172" spans="1:12">
      <c r="A172" s="1" t="s">
        <v>3622</v>
      </c>
      <c r="B172" s="7">
        <v>33.24</v>
      </c>
      <c r="C172" s="7">
        <v>33.24</v>
      </c>
      <c r="D172" s="16">
        <f t="shared" si="8"/>
        <v>0</v>
      </c>
      <c r="E172" s="9">
        <v>33.78</v>
      </c>
      <c r="F172" s="16">
        <f t="shared" si="9"/>
        <v>-1.598579040852573E-2</v>
      </c>
      <c r="G172" s="40"/>
      <c r="H172" s="16"/>
      <c r="I172" s="16"/>
      <c r="J172" s="9"/>
      <c r="K172" s="9"/>
      <c r="L172" s="16"/>
    </row>
    <row r="173" spans="1:12">
      <c r="A173" s="1" t="s">
        <v>3623</v>
      </c>
      <c r="B173" s="7">
        <v>33.74</v>
      </c>
      <c r="C173" s="7">
        <v>33.74</v>
      </c>
      <c r="D173" s="16">
        <f t="shared" si="8"/>
        <v>0</v>
      </c>
      <c r="E173" s="9">
        <v>33.78</v>
      </c>
      <c r="F173" s="16">
        <f t="shared" si="9"/>
        <v>-1.1841326228537344E-3</v>
      </c>
      <c r="G173" s="40"/>
      <c r="H173" s="16"/>
      <c r="I173" s="16"/>
      <c r="J173" s="9"/>
      <c r="K173" s="9"/>
      <c r="L173" s="16"/>
    </row>
    <row r="174" spans="1:12" ht="25.5">
      <c r="A174" s="1" t="s">
        <v>3624</v>
      </c>
      <c r="B174" s="7">
        <v>33.99</v>
      </c>
      <c r="C174" s="7">
        <v>33.99</v>
      </c>
      <c r="D174" s="16">
        <f t="shared" si="8"/>
        <v>0</v>
      </c>
      <c r="E174" s="9">
        <v>33.78</v>
      </c>
      <c r="F174" s="16">
        <f t="shared" si="9"/>
        <v>6.216696269982263E-3</v>
      </c>
      <c r="G174" s="40"/>
      <c r="H174" s="16"/>
      <c r="I174" s="16"/>
      <c r="J174" s="9"/>
      <c r="K174" s="9"/>
      <c r="L174" s="16"/>
    </row>
    <row r="175" spans="1:12" ht="63.75">
      <c r="A175" s="1" t="s">
        <v>3601</v>
      </c>
      <c r="B175" s="7" t="s">
        <v>3625</v>
      </c>
      <c r="C175" s="7" t="s">
        <v>3625</v>
      </c>
      <c r="D175" s="16"/>
      <c r="E175" s="9"/>
      <c r="F175" s="16"/>
      <c r="G175" s="40"/>
      <c r="H175" s="16"/>
      <c r="I175" s="16"/>
      <c r="J175" s="9"/>
      <c r="K175" s="9"/>
      <c r="L175" s="16"/>
    </row>
    <row r="176" spans="1:12">
      <c r="A176" s="143"/>
      <c r="B176" s="143"/>
      <c r="C176" s="7"/>
      <c r="D176" s="16"/>
      <c r="E176" s="9"/>
      <c r="F176" s="16"/>
      <c r="G176" s="40"/>
      <c r="H176" s="16"/>
      <c r="I176" s="16"/>
      <c r="J176" s="9"/>
      <c r="K176" s="9"/>
      <c r="L176" s="16"/>
    </row>
    <row r="177" spans="1:12">
      <c r="A177" s="2" t="s">
        <v>3626</v>
      </c>
      <c r="B177" s="7"/>
      <c r="C177" s="7"/>
      <c r="D177" s="16"/>
      <c r="E177" s="9"/>
      <c r="F177" s="16"/>
      <c r="G177" s="40"/>
      <c r="H177" s="16"/>
      <c r="I177" s="16"/>
      <c r="J177" s="9"/>
      <c r="K177" s="9"/>
      <c r="L177" s="16"/>
    </row>
    <row r="178" spans="1:12">
      <c r="A178" s="1" t="s">
        <v>3627</v>
      </c>
      <c r="B178" s="7">
        <v>58.47</v>
      </c>
      <c r="C178" s="7">
        <v>58.47</v>
      </c>
      <c r="D178" s="16">
        <f>(C178-B178)/B178</f>
        <v>0</v>
      </c>
      <c r="E178" s="9"/>
      <c r="F178" s="16"/>
      <c r="G178" s="40"/>
      <c r="H178" s="16"/>
      <c r="I178" s="16"/>
      <c r="J178" s="9"/>
      <c r="K178" s="9"/>
      <c r="L178" s="16"/>
    </row>
    <row r="179" spans="1:12">
      <c r="A179" s="1" t="s">
        <v>3628</v>
      </c>
      <c r="B179" s="7">
        <v>62.05</v>
      </c>
      <c r="C179" s="7">
        <v>62.05</v>
      </c>
      <c r="D179" s="16">
        <f>(C179-B179)/B179</f>
        <v>0</v>
      </c>
      <c r="E179" s="9"/>
      <c r="F179" s="16"/>
      <c r="G179" s="40"/>
      <c r="H179" s="16"/>
      <c r="I179" s="16"/>
      <c r="J179" s="9"/>
      <c r="K179" s="9"/>
      <c r="L179" s="16"/>
    </row>
    <row r="180" spans="1:12">
      <c r="A180" s="143"/>
      <c r="B180" s="143"/>
      <c r="C180" s="7"/>
      <c r="D180" s="16"/>
      <c r="E180" s="9"/>
      <c r="F180" s="16"/>
      <c r="G180" s="40"/>
      <c r="H180" s="16"/>
      <c r="I180" s="16"/>
      <c r="J180" s="9"/>
      <c r="K180" s="9"/>
      <c r="L180" s="16"/>
    </row>
    <row r="181" spans="1:12" ht="38.25">
      <c r="A181" s="2" t="s">
        <v>3629</v>
      </c>
      <c r="B181" s="12" t="s">
        <v>3510</v>
      </c>
      <c r="C181" s="31" t="s">
        <v>3480</v>
      </c>
      <c r="D181" s="43"/>
      <c r="E181" s="44"/>
      <c r="F181" s="43"/>
      <c r="G181" s="23" t="s">
        <v>3983</v>
      </c>
      <c r="H181" s="43">
        <f>AVERAGE(F182)</f>
        <v>-1.4735052422782545E-2</v>
      </c>
      <c r="I181" s="43"/>
      <c r="J181" s="44"/>
      <c r="K181" s="44"/>
      <c r="L181" s="16"/>
    </row>
    <row r="182" spans="1:12">
      <c r="A182" s="1" t="s">
        <v>3694</v>
      </c>
      <c r="B182" s="7">
        <v>34.270000000000003</v>
      </c>
      <c r="C182" s="7">
        <v>34.770000000000003</v>
      </c>
      <c r="D182" s="16">
        <f>(C182-B182)/B182</f>
        <v>1.4590020426028595E-2</v>
      </c>
      <c r="E182" s="9">
        <v>35.29</v>
      </c>
      <c r="F182" s="16">
        <f>(C182-E182)/E182</f>
        <v>-1.4735052422782545E-2</v>
      </c>
      <c r="G182" s="40"/>
      <c r="H182" s="16"/>
      <c r="I182" s="16"/>
      <c r="J182" s="9"/>
      <c r="K182" s="9"/>
      <c r="L182" s="16"/>
    </row>
    <row r="183" spans="1:12">
      <c r="A183" s="1"/>
      <c r="B183" s="7"/>
      <c r="C183" s="7"/>
      <c r="D183" s="16"/>
      <c r="E183" s="9"/>
      <c r="F183" s="16"/>
      <c r="G183" s="40"/>
      <c r="H183" s="16"/>
      <c r="I183" s="16"/>
      <c r="J183" s="9"/>
      <c r="K183" s="9"/>
      <c r="L183" s="16"/>
    </row>
    <row r="184" spans="1:12">
      <c r="A184" s="2" t="s">
        <v>3632</v>
      </c>
      <c r="B184" s="11" t="s">
        <v>3534</v>
      </c>
      <c r="C184" s="33" t="s">
        <v>3534</v>
      </c>
      <c r="D184" s="43"/>
      <c r="E184" s="8"/>
      <c r="F184" s="43"/>
      <c r="G184" s="23" t="s">
        <v>3983</v>
      </c>
      <c r="H184" s="43">
        <f>AVERAGE(F185)</f>
        <v>-4.4052863436122407E-3</v>
      </c>
      <c r="I184" s="43"/>
      <c r="J184" s="44"/>
      <c r="K184" s="44"/>
      <c r="L184" s="16"/>
    </row>
    <row r="185" spans="1:12">
      <c r="A185" s="1" t="s">
        <v>3926</v>
      </c>
      <c r="B185" s="7">
        <v>45.2</v>
      </c>
      <c r="C185" s="7">
        <v>45.2</v>
      </c>
      <c r="D185" s="16">
        <f>(C185-B185)/B185</f>
        <v>0</v>
      </c>
      <c r="E185" s="9">
        <v>45.4</v>
      </c>
      <c r="F185" s="16">
        <f>(C185-E185)/E185</f>
        <v>-4.4052863436122407E-3</v>
      </c>
      <c r="G185" s="40"/>
      <c r="H185" s="16"/>
      <c r="I185" s="16"/>
      <c r="J185" s="9"/>
      <c r="K185" s="9"/>
      <c r="L185" s="16"/>
    </row>
    <row r="186" spans="1:12">
      <c r="A186" s="1"/>
      <c r="B186" s="7"/>
      <c r="C186" s="7"/>
      <c r="D186" s="16"/>
      <c r="E186" s="9"/>
      <c r="F186" s="16"/>
      <c r="G186" s="40"/>
      <c r="H186" s="16"/>
      <c r="I186" s="16"/>
      <c r="J186" s="9"/>
      <c r="K186" s="9"/>
      <c r="L186" s="16"/>
    </row>
    <row r="187" spans="1:12">
      <c r="A187" s="2" t="s">
        <v>3636</v>
      </c>
      <c r="B187" s="11" t="s">
        <v>3534</v>
      </c>
      <c r="C187" s="33" t="s">
        <v>3534</v>
      </c>
      <c r="D187" s="43"/>
      <c r="E187" s="44"/>
      <c r="F187" s="43"/>
      <c r="G187" s="23" t="s">
        <v>3983</v>
      </c>
      <c r="H187" s="43">
        <f>AVERAGE(F188:F190)</f>
        <v>0.10750796044913691</v>
      </c>
      <c r="I187" s="43"/>
      <c r="J187" s="44"/>
      <c r="K187" s="44"/>
      <c r="L187" s="16"/>
    </row>
    <row r="188" spans="1:12">
      <c r="A188" s="1" t="s">
        <v>3637</v>
      </c>
      <c r="B188" s="7">
        <v>27.52</v>
      </c>
      <c r="C188" s="7">
        <v>41.58</v>
      </c>
      <c r="D188" s="16">
        <f>(C188-B188)/B188</f>
        <v>0.51090116279069764</v>
      </c>
      <c r="E188" s="9">
        <v>39.78</v>
      </c>
      <c r="F188" s="16">
        <f>(C188-E188)/E188</f>
        <v>4.5248868778280472E-2</v>
      </c>
      <c r="G188" s="40"/>
      <c r="H188" s="16"/>
      <c r="I188" s="16"/>
      <c r="J188" s="9"/>
      <c r="K188" s="9"/>
      <c r="L188" s="16"/>
    </row>
    <row r="189" spans="1:12">
      <c r="A189" s="1" t="s">
        <v>3877</v>
      </c>
      <c r="B189" s="7">
        <v>27.52</v>
      </c>
      <c r="C189" s="7">
        <v>44.06</v>
      </c>
      <c r="D189" s="16">
        <f>(C189-B189)/B189</f>
        <v>0.60101744186046524</v>
      </c>
      <c r="E189" s="9">
        <v>39.78</v>
      </c>
      <c r="F189" s="16">
        <f>(C189-E189)/E189</f>
        <v>0.1075917546505782</v>
      </c>
      <c r="G189" s="40"/>
      <c r="H189" s="16"/>
      <c r="I189" s="16"/>
      <c r="J189" s="9"/>
      <c r="K189" s="9"/>
      <c r="L189" s="16"/>
    </row>
    <row r="190" spans="1:12">
      <c r="A190" s="1" t="s">
        <v>3878</v>
      </c>
      <c r="B190" s="7">
        <v>27.52</v>
      </c>
      <c r="C190" s="7">
        <v>46.53</v>
      </c>
      <c r="D190" s="16">
        <f>(C190-B190)/B190</f>
        <v>0.69077034883720934</v>
      </c>
      <c r="E190" s="9">
        <v>39.78</v>
      </c>
      <c r="F190" s="16">
        <f>(C190-E190)/E190</f>
        <v>0.16968325791855204</v>
      </c>
      <c r="G190" s="40"/>
      <c r="H190" s="16"/>
      <c r="I190" s="16"/>
      <c r="J190" s="9"/>
      <c r="K190" s="9"/>
      <c r="L190" s="16"/>
    </row>
    <row r="191" spans="1:12">
      <c r="A191" s="1"/>
      <c r="B191" s="7"/>
      <c r="C191" s="7"/>
      <c r="D191" s="16"/>
      <c r="E191" s="9"/>
      <c r="F191" s="16"/>
      <c r="G191" s="40"/>
      <c r="H191" s="16"/>
      <c r="I191" s="16"/>
      <c r="J191" s="9"/>
      <c r="K191" s="9"/>
      <c r="L191" s="16"/>
    </row>
    <row r="192" spans="1:12" ht="38.25">
      <c r="A192" s="2" t="s">
        <v>3879</v>
      </c>
      <c r="B192" s="11" t="s">
        <v>3534</v>
      </c>
      <c r="C192" s="31" t="s">
        <v>3499</v>
      </c>
      <c r="D192" s="43"/>
      <c r="E192" s="44"/>
      <c r="F192" s="43"/>
      <c r="G192" s="23" t="s">
        <v>3984</v>
      </c>
      <c r="H192" s="43"/>
      <c r="I192" s="43">
        <f>AVERAGE(F194)</f>
        <v>0</v>
      </c>
      <c r="J192" s="44"/>
      <c r="K192" s="44"/>
      <c r="L192" s="16"/>
    </row>
    <row r="193" spans="1:12" ht="25.5">
      <c r="A193" s="1" t="s">
        <v>3880</v>
      </c>
      <c r="B193" s="11"/>
      <c r="C193" s="11"/>
      <c r="D193" s="16"/>
      <c r="E193" s="9"/>
      <c r="F193" s="16"/>
      <c r="G193" s="40"/>
      <c r="H193" s="16"/>
      <c r="I193" s="16"/>
      <c r="J193" s="9"/>
      <c r="K193" s="9"/>
      <c r="L193" s="16"/>
    </row>
    <row r="194" spans="1:12">
      <c r="A194" s="1" t="s">
        <v>3915</v>
      </c>
      <c r="B194" s="7">
        <v>17.2</v>
      </c>
      <c r="C194" s="7">
        <v>24.11</v>
      </c>
      <c r="D194" s="16">
        <f>(C194-B194)/B194</f>
        <v>0.40174418604651163</v>
      </c>
      <c r="E194" s="9">
        <v>24.11</v>
      </c>
      <c r="F194" s="16">
        <f>(C194-E194)/E194</f>
        <v>0</v>
      </c>
      <c r="G194" s="40"/>
      <c r="H194" s="16"/>
      <c r="I194" s="16"/>
      <c r="J194" s="9"/>
      <c r="K194" s="9"/>
      <c r="L194" s="16"/>
    </row>
    <row r="195" spans="1:12">
      <c r="A195" s="1"/>
      <c r="B195" s="7"/>
      <c r="C195" s="7"/>
      <c r="D195" s="16"/>
      <c r="E195" s="9"/>
      <c r="F195" s="16"/>
      <c r="G195" s="40"/>
      <c r="H195" s="16"/>
      <c r="I195" s="16"/>
      <c r="J195" s="9"/>
      <c r="K195" s="9"/>
      <c r="L195" s="16"/>
    </row>
    <row r="196" spans="1:12" ht="38.25">
      <c r="A196" s="2" t="s">
        <v>3640</v>
      </c>
      <c r="B196" s="7"/>
      <c r="C196" s="12" t="s">
        <v>3977</v>
      </c>
      <c r="D196" s="43"/>
      <c r="E196" s="44"/>
      <c r="F196" s="43"/>
      <c r="G196" s="23" t="s">
        <v>3983</v>
      </c>
      <c r="H196" s="43">
        <f>AVERAGE(F197)</f>
        <v>3.267834258863736E-2</v>
      </c>
      <c r="I196" s="43"/>
      <c r="J196" s="44"/>
      <c r="K196" s="44"/>
      <c r="L196" s="16"/>
    </row>
    <row r="197" spans="1:12">
      <c r="A197" s="1" t="s">
        <v>3927</v>
      </c>
      <c r="B197" s="7">
        <v>46.6</v>
      </c>
      <c r="C197" s="7">
        <v>48.35</v>
      </c>
      <c r="D197" s="16">
        <f>(C197-B197)/B197</f>
        <v>3.7553648068669523E-2</v>
      </c>
      <c r="E197" s="9">
        <v>46.82</v>
      </c>
      <c r="F197" s="16">
        <f>(C197-E197)/E197</f>
        <v>3.267834258863736E-2</v>
      </c>
      <c r="G197" s="40"/>
      <c r="H197" s="16"/>
      <c r="I197" s="16"/>
      <c r="J197" s="9"/>
      <c r="K197" s="9"/>
      <c r="L197" s="16"/>
    </row>
    <row r="198" spans="1:12">
      <c r="A198" s="1"/>
      <c r="B198" s="7"/>
      <c r="C198" s="7"/>
      <c r="D198" s="16"/>
      <c r="E198" s="9"/>
      <c r="F198" s="16"/>
      <c r="G198" s="40"/>
      <c r="H198" s="16"/>
      <c r="I198" s="16"/>
      <c r="J198" s="9"/>
      <c r="K198" s="9"/>
      <c r="L198" s="16"/>
    </row>
    <row r="199" spans="1:12" ht="38.25">
      <c r="A199" s="2" t="s">
        <v>3644</v>
      </c>
      <c r="B199" s="11" t="s">
        <v>3534</v>
      </c>
      <c r="C199" s="31" t="s">
        <v>3499</v>
      </c>
      <c r="D199" s="43"/>
      <c r="E199" s="44"/>
      <c r="F199" s="43"/>
      <c r="G199" s="23" t="s">
        <v>3984</v>
      </c>
      <c r="H199" s="43"/>
      <c r="I199" s="43">
        <f>AVERAGE(F200:F202)</f>
        <v>-8.4670853686903927E-2</v>
      </c>
      <c r="J199" s="44"/>
      <c r="K199" s="44"/>
      <c r="L199" s="16"/>
    </row>
    <row r="200" spans="1:12">
      <c r="A200" s="1" t="s">
        <v>3645</v>
      </c>
      <c r="B200" s="7">
        <v>52.3</v>
      </c>
      <c r="C200" s="7">
        <v>39.35</v>
      </c>
      <c r="D200" s="16">
        <f>(C200-B200)/B200</f>
        <v>-0.24760994263862326</v>
      </c>
      <c r="E200" s="9">
        <v>42.99</v>
      </c>
      <c r="F200" s="16">
        <f>(C200-E200)/E200</f>
        <v>-8.4670853686903941E-2</v>
      </c>
      <c r="G200" s="40"/>
      <c r="H200" s="16"/>
      <c r="I200" s="16"/>
      <c r="J200" s="9"/>
      <c r="K200" s="9"/>
      <c r="L200" s="16"/>
    </row>
    <row r="201" spans="1:12">
      <c r="A201" s="1" t="s">
        <v>3646</v>
      </c>
      <c r="B201" s="7">
        <v>55.05</v>
      </c>
      <c r="C201" s="7">
        <v>39.35</v>
      </c>
      <c r="D201" s="16">
        <f>(C201-B201)/B201</f>
        <v>-0.28519527702089004</v>
      </c>
      <c r="E201" s="9">
        <v>42.99</v>
      </c>
      <c r="F201" s="16">
        <f>(C201-E201)/E201</f>
        <v>-8.4670853686903941E-2</v>
      </c>
      <c r="G201" s="40"/>
      <c r="H201" s="16"/>
      <c r="I201" s="16"/>
      <c r="J201" s="9"/>
      <c r="K201" s="9"/>
      <c r="L201" s="16"/>
    </row>
    <row r="202" spans="1:12">
      <c r="A202" s="1" t="s">
        <v>3647</v>
      </c>
      <c r="B202" s="7">
        <v>57.3</v>
      </c>
      <c r="C202" s="7">
        <v>39.35</v>
      </c>
      <c r="D202" s="16">
        <f>(C202-B202)/B202</f>
        <v>-0.31326352530541007</v>
      </c>
      <c r="E202" s="9">
        <v>42.99</v>
      </c>
      <c r="F202" s="16">
        <f>(C202-E202)/E202</f>
        <v>-8.4670853686903941E-2</v>
      </c>
      <c r="G202" s="40"/>
      <c r="H202" s="16"/>
      <c r="I202" s="16"/>
      <c r="J202" s="9"/>
      <c r="K202" s="9"/>
      <c r="L202" s="16"/>
    </row>
    <row r="203" spans="1:12">
      <c r="A203" s="1"/>
      <c r="B203" s="7"/>
      <c r="C203" s="7"/>
      <c r="D203" s="16"/>
      <c r="E203" s="9"/>
      <c r="F203" s="16"/>
      <c r="G203" s="40"/>
      <c r="H203" s="16"/>
      <c r="I203" s="16"/>
      <c r="J203" s="9"/>
      <c r="K203" s="9"/>
      <c r="L203" s="16"/>
    </row>
    <row r="204" spans="1:12" ht="25.5">
      <c r="A204" s="2" t="s">
        <v>3648</v>
      </c>
      <c r="B204" s="7"/>
      <c r="C204" s="31" t="s">
        <v>3497</v>
      </c>
      <c r="D204" s="43"/>
      <c r="E204" s="44"/>
      <c r="F204" s="43"/>
      <c r="G204" s="23" t="s">
        <v>3984</v>
      </c>
      <c r="H204" s="43"/>
      <c r="I204" s="43">
        <f>AVERAGE(F205)</f>
        <v>0</v>
      </c>
      <c r="J204" s="44"/>
      <c r="K204" s="44"/>
      <c r="L204" s="16"/>
    </row>
    <row r="205" spans="1:12">
      <c r="A205" s="1" t="s">
        <v>3650</v>
      </c>
      <c r="B205" s="7">
        <v>46.85</v>
      </c>
      <c r="C205" s="7">
        <v>25.63</v>
      </c>
      <c r="D205" s="16">
        <f>(C205-B205)/B205</f>
        <v>-0.4529348986125934</v>
      </c>
      <c r="E205" s="9">
        <v>25.63</v>
      </c>
      <c r="F205" s="16">
        <f>(C205-E205)/E205</f>
        <v>0</v>
      </c>
      <c r="G205" s="40"/>
      <c r="H205" s="16"/>
      <c r="I205" s="16"/>
      <c r="J205" s="9"/>
      <c r="K205" s="9"/>
      <c r="L205" s="16"/>
    </row>
    <row r="206" spans="1:12">
      <c r="A206" s="1"/>
      <c r="B206" s="7"/>
      <c r="C206" s="7"/>
      <c r="D206" s="16"/>
      <c r="E206" s="9"/>
      <c r="F206" s="16"/>
      <c r="G206" s="40"/>
      <c r="H206" s="16"/>
      <c r="I206" s="16"/>
      <c r="J206" s="9"/>
      <c r="K206" s="9"/>
      <c r="L206" s="16"/>
    </row>
    <row r="207" spans="1:12" ht="38.25">
      <c r="A207" s="2" t="s">
        <v>3651</v>
      </c>
      <c r="B207" s="11" t="s">
        <v>3534</v>
      </c>
      <c r="C207" s="31" t="s">
        <v>3499</v>
      </c>
      <c r="D207" s="43"/>
      <c r="E207" s="44"/>
      <c r="F207" s="43"/>
      <c r="G207" s="23" t="s">
        <v>3983</v>
      </c>
      <c r="H207" s="43">
        <f>AVERAGE(F208)</f>
        <v>1.227678571428565E-2</v>
      </c>
      <c r="I207" s="43"/>
      <c r="J207" s="44"/>
      <c r="K207" s="44"/>
      <c r="L207" s="16"/>
    </row>
    <row r="208" spans="1:12">
      <c r="A208" s="1" t="s">
        <v>3652</v>
      </c>
      <c r="B208" s="7">
        <v>35.49</v>
      </c>
      <c r="C208" s="7">
        <v>36.28</v>
      </c>
      <c r="D208" s="16">
        <f>(C208-B208)/B208</f>
        <v>2.2259791490560697E-2</v>
      </c>
      <c r="E208" s="9">
        <v>35.840000000000003</v>
      </c>
      <c r="F208" s="16">
        <f>(C208-E208)/E208</f>
        <v>1.227678571428565E-2</v>
      </c>
      <c r="G208" s="40"/>
      <c r="H208" s="16"/>
      <c r="I208" s="16"/>
      <c r="J208" s="9"/>
      <c r="K208" s="9"/>
      <c r="L208" s="16"/>
    </row>
    <row r="209" spans="1:12">
      <c r="A209" s="1"/>
      <c r="B209" s="7"/>
      <c r="C209" s="7"/>
      <c r="D209" s="16"/>
      <c r="E209" s="9"/>
      <c r="F209" s="16"/>
      <c r="G209" s="40"/>
      <c r="H209" s="16"/>
      <c r="I209" s="16"/>
      <c r="J209" s="9"/>
      <c r="K209" s="9"/>
      <c r="L209" s="16"/>
    </row>
    <row r="210" spans="1:12" ht="38.25">
      <c r="A210" s="2" t="s">
        <v>3653</v>
      </c>
      <c r="B210" s="12" t="s">
        <v>3977</v>
      </c>
      <c r="C210" s="44" t="s">
        <v>3480</v>
      </c>
      <c r="D210" s="43"/>
      <c r="E210" s="44"/>
      <c r="F210" s="43"/>
      <c r="G210" s="23" t="s">
        <v>3983</v>
      </c>
      <c r="H210" s="43">
        <f>AVERAGE(F211)</f>
        <v>1.0195758564437194E-2</v>
      </c>
      <c r="I210" s="43"/>
      <c r="J210" s="44"/>
      <c r="K210" s="44"/>
      <c r="L210" s="16"/>
    </row>
    <row r="211" spans="1:12">
      <c r="A211" s="1" t="s">
        <v>3654</v>
      </c>
      <c r="B211" s="7">
        <v>32.479999999999997</v>
      </c>
      <c r="C211" s="7">
        <v>24.77</v>
      </c>
      <c r="D211" s="16">
        <f>(C211-B211)/B211</f>
        <v>-0.23737684729064035</v>
      </c>
      <c r="E211" s="9">
        <v>24.52</v>
      </c>
      <c r="F211" s="16">
        <f>(C211-E211)/E211</f>
        <v>1.0195758564437194E-2</v>
      </c>
      <c r="G211" s="40"/>
      <c r="H211" s="16"/>
      <c r="I211" s="16"/>
      <c r="J211" s="9"/>
      <c r="K211" s="9"/>
      <c r="L211" s="16"/>
    </row>
    <row r="212" spans="1:12">
      <c r="A212" s="1"/>
      <c r="B212" s="7"/>
      <c r="C212" s="7"/>
      <c r="D212" s="16"/>
      <c r="E212" s="9"/>
      <c r="F212" s="16"/>
      <c r="G212" s="40"/>
      <c r="H212" s="16"/>
      <c r="I212" s="16"/>
      <c r="J212" s="9"/>
      <c r="K212" s="9"/>
      <c r="L212" s="16"/>
    </row>
    <row r="213" spans="1:12" ht="38.25">
      <c r="A213" s="2" t="s">
        <v>3655</v>
      </c>
      <c r="B213" s="12" t="s">
        <v>3510</v>
      </c>
      <c r="C213" s="44" t="s">
        <v>3480</v>
      </c>
      <c r="D213" s="43"/>
      <c r="E213" s="44"/>
      <c r="F213" s="43"/>
      <c r="G213" s="23" t="s">
        <v>3983</v>
      </c>
      <c r="H213" s="43">
        <f>AVERAGE(F214:F219)</f>
        <v>4.1518034086404983E-2</v>
      </c>
      <c r="I213" s="43"/>
      <c r="J213" s="44"/>
      <c r="K213" s="44"/>
      <c r="L213" s="16"/>
    </row>
    <row r="214" spans="1:12">
      <c r="A214" s="1" t="s">
        <v>3656</v>
      </c>
      <c r="B214" s="7">
        <v>35.99</v>
      </c>
      <c r="C214" s="7">
        <v>32.869999999999997</v>
      </c>
      <c r="D214" s="16">
        <f t="shared" ref="D214:D219" si="10">(C214-B214)/B214</f>
        <v>-8.6690747429841744E-2</v>
      </c>
      <c r="E214" s="9">
        <v>33.64</v>
      </c>
      <c r="F214" s="16">
        <f t="shared" ref="F214:F219" si="11">(C214-E214)/E214</f>
        <v>-2.2889417360285467E-2</v>
      </c>
      <c r="G214" s="40"/>
      <c r="H214" s="16"/>
      <c r="I214" s="16"/>
      <c r="J214" s="9"/>
      <c r="K214" s="9"/>
      <c r="L214" s="16"/>
    </row>
    <row r="215" spans="1:12">
      <c r="A215" s="1" t="s">
        <v>3657</v>
      </c>
      <c r="B215" s="7">
        <v>35.99</v>
      </c>
      <c r="C215" s="7">
        <v>34.119999999999997</v>
      </c>
      <c r="D215" s="16">
        <f t="shared" si="10"/>
        <v>-5.1958877465962894E-2</v>
      </c>
      <c r="E215" s="9">
        <v>33.64</v>
      </c>
      <c r="F215" s="16">
        <f t="shared" si="11"/>
        <v>1.4268727705112868E-2</v>
      </c>
      <c r="G215" s="40"/>
      <c r="H215" s="16"/>
      <c r="I215" s="16"/>
      <c r="J215" s="9"/>
      <c r="K215" s="9"/>
      <c r="L215" s="16"/>
    </row>
    <row r="216" spans="1:12">
      <c r="A216" s="1" t="s">
        <v>3916</v>
      </c>
      <c r="B216" s="7">
        <v>35.99</v>
      </c>
      <c r="C216" s="7">
        <v>35.869999999999997</v>
      </c>
      <c r="D216" s="16">
        <f t="shared" si="10"/>
        <v>-3.3342595165324965E-3</v>
      </c>
      <c r="E216" s="9">
        <v>33.64</v>
      </c>
      <c r="F216" s="16">
        <f t="shared" si="11"/>
        <v>6.6290130796670538E-2</v>
      </c>
      <c r="G216" s="40"/>
      <c r="H216" s="16"/>
      <c r="I216" s="16"/>
      <c r="J216" s="9"/>
      <c r="K216" s="9"/>
      <c r="L216" s="16"/>
    </row>
    <row r="217" spans="1:12" ht="25.5">
      <c r="A217" s="1" t="s">
        <v>3659</v>
      </c>
      <c r="B217" s="7">
        <v>35.99</v>
      </c>
      <c r="C217" s="7">
        <v>34.369999999999997</v>
      </c>
      <c r="D217" s="16">
        <f t="shared" si="10"/>
        <v>-4.5012503473187117E-2</v>
      </c>
      <c r="E217" s="9">
        <v>33.64</v>
      </c>
      <c r="F217" s="16">
        <f t="shared" si="11"/>
        <v>2.1700356718192534E-2</v>
      </c>
      <c r="G217" s="40"/>
      <c r="H217" s="16"/>
      <c r="I217" s="16"/>
      <c r="J217" s="9"/>
      <c r="K217" s="9"/>
      <c r="L217" s="16"/>
    </row>
    <row r="218" spans="1:12">
      <c r="A218" s="1" t="s">
        <v>3660</v>
      </c>
      <c r="B218" s="7">
        <v>35.99</v>
      </c>
      <c r="C218" s="7">
        <v>35.619999999999997</v>
      </c>
      <c r="D218" s="16">
        <f t="shared" si="10"/>
        <v>-1.0280633509308267E-2</v>
      </c>
      <c r="E218" s="9">
        <v>33.64</v>
      </c>
      <c r="F218" s="16">
        <f t="shared" si="11"/>
        <v>5.8858501783590866E-2</v>
      </c>
      <c r="G218" s="40"/>
      <c r="H218" s="16"/>
      <c r="I218" s="16"/>
      <c r="J218" s="9"/>
      <c r="K218" s="9"/>
      <c r="L218" s="16"/>
    </row>
    <row r="219" spans="1:12" ht="25.5">
      <c r="A219" s="1" t="s">
        <v>3661</v>
      </c>
      <c r="B219" s="7">
        <v>35.99</v>
      </c>
      <c r="C219" s="7">
        <v>37.369999999999997</v>
      </c>
      <c r="D219" s="16">
        <f t="shared" si="10"/>
        <v>3.8343984440122131E-2</v>
      </c>
      <c r="E219" s="9">
        <v>33.64</v>
      </c>
      <c r="F219" s="16">
        <f t="shared" si="11"/>
        <v>0.11087990487514854</v>
      </c>
      <c r="G219" s="40"/>
      <c r="H219" s="16"/>
      <c r="I219" s="16"/>
      <c r="J219" s="9"/>
      <c r="K219" s="9"/>
      <c r="L219" s="16"/>
    </row>
    <row r="220" spans="1:12">
      <c r="A220" s="1"/>
      <c r="B220" s="7"/>
      <c r="C220" s="7"/>
      <c r="D220" s="16"/>
      <c r="E220" s="9"/>
      <c r="F220" s="16"/>
      <c r="G220" s="40"/>
      <c r="H220" s="16"/>
      <c r="I220" s="16"/>
      <c r="J220" s="9"/>
      <c r="K220" s="9"/>
      <c r="L220" s="16"/>
    </row>
    <row r="221" spans="1:12">
      <c r="A221" s="1"/>
      <c r="B221" s="7"/>
      <c r="C221" s="7"/>
      <c r="D221" s="16"/>
      <c r="E221" s="9"/>
      <c r="F221" s="16"/>
      <c r="G221" s="40"/>
      <c r="H221" s="16"/>
      <c r="I221" s="16"/>
      <c r="J221" s="9"/>
      <c r="K221" s="9"/>
      <c r="L221" s="16"/>
    </row>
    <row r="222" spans="1:12" ht="51">
      <c r="A222" s="2" t="s">
        <v>3662</v>
      </c>
      <c r="B222" s="12" t="s">
        <v>3547</v>
      </c>
      <c r="C222" s="12" t="s">
        <v>3547</v>
      </c>
      <c r="D222" s="16"/>
      <c r="E222" s="9"/>
      <c r="F222" s="16"/>
      <c r="G222" s="40"/>
      <c r="H222" s="16"/>
      <c r="I222" s="16"/>
      <c r="J222" s="9"/>
      <c r="K222" s="9"/>
      <c r="L222" s="16"/>
    </row>
    <row r="223" spans="1:12">
      <c r="A223" s="1" t="s">
        <v>3663</v>
      </c>
      <c r="B223" s="7">
        <v>30.82</v>
      </c>
      <c r="C223" s="7">
        <v>30.82</v>
      </c>
      <c r="D223" s="16">
        <f>(C223-B223)/B223</f>
        <v>0</v>
      </c>
      <c r="E223" s="9"/>
      <c r="F223" s="16"/>
      <c r="G223" s="40"/>
      <c r="H223" s="16"/>
      <c r="I223" s="16"/>
      <c r="J223" s="9"/>
      <c r="K223" s="9"/>
      <c r="L223" s="16"/>
    </row>
    <row r="224" spans="1:12">
      <c r="A224" s="143"/>
      <c r="B224" s="143"/>
      <c r="C224" s="7"/>
      <c r="D224" s="16"/>
      <c r="E224" s="9"/>
      <c r="F224" s="16"/>
      <c r="G224" s="40"/>
      <c r="H224" s="16"/>
      <c r="I224" s="16"/>
      <c r="J224" s="9"/>
      <c r="K224" s="9"/>
      <c r="L224" s="16"/>
    </row>
    <row r="225" spans="1:12" ht="38.25">
      <c r="A225" s="2" t="s">
        <v>3664</v>
      </c>
      <c r="B225" s="12" t="s">
        <v>3510</v>
      </c>
      <c r="C225" s="12" t="s">
        <v>3510</v>
      </c>
      <c r="D225" s="43"/>
      <c r="E225" s="44"/>
      <c r="F225" s="43"/>
      <c r="G225" s="23" t="s">
        <v>3983</v>
      </c>
      <c r="H225" s="43">
        <f>AVERAGE(F227:F274)</f>
        <v>-2.0288219518524827E-4</v>
      </c>
      <c r="I225" s="43"/>
      <c r="J225" s="44"/>
      <c r="K225" s="44"/>
    </row>
    <row r="226" spans="1:12" ht="51" customHeight="1">
      <c r="A226" s="145" t="s">
        <v>3700</v>
      </c>
      <c r="B226" s="145"/>
      <c r="C226" s="13"/>
      <c r="D226" s="16"/>
      <c r="E226" s="9"/>
      <c r="F226" s="16"/>
      <c r="G226" s="40"/>
      <c r="H226" s="16"/>
      <c r="I226" s="16"/>
      <c r="J226" s="9"/>
      <c r="K226" s="9"/>
      <c r="L226" s="16"/>
    </row>
    <row r="227" spans="1:12">
      <c r="A227" s="1" t="s">
        <v>3701</v>
      </c>
      <c r="B227" s="7">
        <v>35.020000000000003</v>
      </c>
      <c r="C227" s="7">
        <v>38.450000000000003</v>
      </c>
      <c r="D227" s="16">
        <f t="shared" ref="D227:D241" si="12">(C227-B227)/B227</f>
        <v>9.7944031981724716E-2</v>
      </c>
      <c r="E227" s="9">
        <v>38.47</v>
      </c>
      <c r="F227" s="16">
        <f t="shared" ref="F227:F241" si="13">(C227-E227)/E227</f>
        <v>-5.1988562516236088E-4</v>
      </c>
      <c r="G227" s="40"/>
      <c r="H227" s="16"/>
      <c r="I227" s="16"/>
      <c r="J227" s="56">
        <v>25.42</v>
      </c>
      <c r="K227" s="56">
        <f>J227*1.4</f>
        <v>35.588000000000001</v>
      </c>
      <c r="L227" s="16">
        <f>(C227-K227)/K227</f>
        <v>8.0420366415645775E-2</v>
      </c>
    </row>
    <row r="228" spans="1:12">
      <c r="A228" s="1" t="s">
        <v>3702</v>
      </c>
      <c r="B228" s="7">
        <v>35.24</v>
      </c>
      <c r="C228" s="7">
        <v>38.450000000000003</v>
      </c>
      <c r="D228" s="16">
        <f t="shared" si="12"/>
        <v>9.1089670828603878E-2</v>
      </c>
      <c r="E228" s="9">
        <v>38.47</v>
      </c>
      <c r="F228" s="16">
        <f t="shared" si="13"/>
        <v>-5.1988562516236088E-4</v>
      </c>
      <c r="G228" s="40"/>
      <c r="H228" s="16"/>
      <c r="I228" s="16"/>
      <c r="J228" s="56">
        <v>25.42</v>
      </c>
      <c r="K228" s="56">
        <f t="shared" ref="K228:K274" si="14">J228*1.4</f>
        <v>35.588000000000001</v>
      </c>
      <c r="L228" s="16">
        <f t="shared" ref="L228:L274" si="15">(C228-K228)/K228</f>
        <v>8.0420366415645775E-2</v>
      </c>
    </row>
    <row r="229" spans="1:12" ht="25.5">
      <c r="A229" s="1" t="s">
        <v>3703</v>
      </c>
      <c r="B229" s="7">
        <v>35.450000000000003</v>
      </c>
      <c r="C229" s="7">
        <v>38.450000000000003</v>
      </c>
      <c r="D229" s="16">
        <f t="shared" si="12"/>
        <v>8.4626234132581094E-2</v>
      </c>
      <c r="E229" s="9">
        <v>38.47</v>
      </c>
      <c r="F229" s="16">
        <f t="shared" si="13"/>
        <v>-5.1988562516236088E-4</v>
      </c>
      <c r="G229" s="40"/>
      <c r="H229" s="16"/>
      <c r="I229" s="16"/>
      <c r="J229" s="56">
        <v>25.42</v>
      </c>
      <c r="K229" s="56">
        <f t="shared" si="14"/>
        <v>35.588000000000001</v>
      </c>
      <c r="L229" s="16">
        <f t="shared" si="15"/>
        <v>8.0420366415645775E-2</v>
      </c>
    </row>
    <row r="230" spans="1:12" ht="25.5">
      <c r="A230" s="1" t="s">
        <v>3704</v>
      </c>
      <c r="B230" s="7">
        <v>35.619999999999997</v>
      </c>
      <c r="C230" s="7">
        <v>38.450000000000003</v>
      </c>
      <c r="D230" s="16">
        <f t="shared" si="12"/>
        <v>7.9449747332959175E-2</v>
      </c>
      <c r="E230" s="9">
        <v>38.47</v>
      </c>
      <c r="F230" s="16">
        <f t="shared" si="13"/>
        <v>-5.1988562516236088E-4</v>
      </c>
      <c r="G230" s="40"/>
      <c r="H230" s="16"/>
      <c r="I230" s="16"/>
      <c r="J230" s="56">
        <v>25.42</v>
      </c>
      <c r="K230" s="56">
        <f t="shared" si="14"/>
        <v>35.588000000000001</v>
      </c>
      <c r="L230" s="16">
        <f t="shared" si="15"/>
        <v>8.0420366415645775E-2</v>
      </c>
    </row>
    <row r="231" spans="1:12" ht="25.5">
      <c r="A231" s="1" t="s">
        <v>3705</v>
      </c>
      <c r="B231" s="7">
        <v>36.04</v>
      </c>
      <c r="C231" s="7">
        <v>38.450000000000003</v>
      </c>
      <c r="D231" s="16">
        <f t="shared" si="12"/>
        <v>6.6870144284128852E-2</v>
      </c>
      <c r="E231" s="9">
        <v>38.47</v>
      </c>
      <c r="F231" s="16">
        <f t="shared" si="13"/>
        <v>-5.1988562516236088E-4</v>
      </c>
      <c r="G231" s="40"/>
      <c r="H231" s="16"/>
      <c r="I231" s="16"/>
      <c r="J231" s="56">
        <v>25.42</v>
      </c>
      <c r="K231" s="56">
        <f t="shared" si="14"/>
        <v>35.588000000000001</v>
      </c>
      <c r="L231" s="16">
        <f t="shared" si="15"/>
        <v>8.0420366415645775E-2</v>
      </c>
    </row>
    <row r="232" spans="1:12" ht="25.5">
      <c r="A232" s="1" t="s">
        <v>3706</v>
      </c>
      <c r="B232" s="7">
        <v>37.479999999999997</v>
      </c>
      <c r="C232" s="7">
        <v>38.450000000000003</v>
      </c>
      <c r="D232" s="16">
        <f t="shared" si="12"/>
        <v>2.5880469583778175E-2</v>
      </c>
      <c r="E232" s="9">
        <v>38.47</v>
      </c>
      <c r="F232" s="16">
        <f t="shared" si="13"/>
        <v>-5.1988562516236088E-4</v>
      </c>
      <c r="G232" s="40"/>
      <c r="H232" s="16"/>
      <c r="I232" s="16"/>
      <c r="J232" s="56">
        <v>25.42</v>
      </c>
      <c r="K232" s="56">
        <f t="shared" si="14"/>
        <v>35.588000000000001</v>
      </c>
      <c r="L232" s="16">
        <f t="shared" si="15"/>
        <v>8.0420366415645775E-2</v>
      </c>
    </row>
    <row r="233" spans="1:12" ht="25.5">
      <c r="A233" s="1" t="s">
        <v>3707</v>
      </c>
      <c r="B233" s="7">
        <v>38.43</v>
      </c>
      <c r="C233" s="7">
        <v>38.450000000000003</v>
      </c>
      <c r="D233" s="16">
        <f t="shared" si="12"/>
        <v>5.2042674993502797E-4</v>
      </c>
      <c r="E233" s="9">
        <v>38.47</v>
      </c>
      <c r="F233" s="16">
        <f t="shared" si="13"/>
        <v>-5.1988562516236088E-4</v>
      </c>
      <c r="G233" s="40"/>
      <c r="H233" s="16"/>
      <c r="I233" s="16"/>
      <c r="J233" s="56">
        <v>25.42</v>
      </c>
      <c r="K233" s="56">
        <f t="shared" si="14"/>
        <v>35.588000000000001</v>
      </c>
      <c r="L233" s="16">
        <f t="shared" si="15"/>
        <v>8.0420366415645775E-2</v>
      </c>
    </row>
    <row r="234" spans="1:12" ht="25.5">
      <c r="A234" s="1" t="s">
        <v>3708</v>
      </c>
      <c r="B234" s="7">
        <v>38.9</v>
      </c>
      <c r="C234" s="7">
        <v>38.450000000000003</v>
      </c>
      <c r="D234" s="16">
        <f t="shared" si="12"/>
        <v>-1.1568123393316086E-2</v>
      </c>
      <c r="E234" s="9">
        <v>38.47</v>
      </c>
      <c r="F234" s="16">
        <f t="shared" si="13"/>
        <v>-5.1988562516236088E-4</v>
      </c>
      <c r="G234" s="40"/>
      <c r="H234" s="16"/>
      <c r="I234" s="16"/>
      <c r="J234" s="56">
        <v>25.42</v>
      </c>
      <c r="K234" s="56">
        <f t="shared" si="14"/>
        <v>35.588000000000001</v>
      </c>
      <c r="L234" s="16">
        <f t="shared" si="15"/>
        <v>8.0420366415645775E-2</v>
      </c>
    </row>
    <row r="235" spans="1:12" ht="25.5">
      <c r="A235" s="1" t="s">
        <v>3709</v>
      </c>
      <c r="B235" s="7">
        <v>40.9</v>
      </c>
      <c r="C235" s="7">
        <v>38.450000000000003</v>
      </c>
      <c r="D235" s="16">
        <f t="shared" si="12"/>
        <v>-5.9902200488997456E-2</v>
      </c>
      <c r="E235" s="9">
        <v>38.47</v>
      </c>
      <c r="F235" s="16">
        <f t="shared" si="13"/>
        <v>-5.1988562516236088E-4</v>
      </c>
      <c r="G235" s="40"/>
      <c r="H235" s="16"/>
      <c r="I235" s="16"/>
      <c r="J235" s="56">
        <v>25.42</v>
      </c>
      <c r="K235" s="56">
        <f t="shared" si="14"/>
        <v>35.588000000000001</v>
      </c>
      <c r="L235" s="16">
        <f t="shared" si="15"/>
        <v>8.0420366415645775E-2</v>
      </c>
    </row>
    <row r="236" spans="1:12" ht="25.5">
      <c r="A236" s="1" t="s">
        <v>3710</v>
      </c>
      <c r="B236" s="7">
        <v>43.9</v>
      </c>
      <c r="C236" s="7">
        <v>38.450000000000003</v>
      </c>
      <c r="D236" s="16">
        <f t="shared" si="12"/>
        <v>-0.12414578587699307</v>
      </c>
      <c r="E236" s="9">
        <v>38.47</v>
      </c>
      <c r="F236" s="16">
        <f t="shared" si="13"/>
        <v>-5.1988562516236088E-4</v>
      </c>
      <c r="G236" s="40"/>
      <c r="H236" s="16"/>
      <c r="I236" s="16"/>
      <c r="J236" s="56">
        <v>25.42</v>
      </c>
      <c r="K236" s="56">
        <f t="shared" si="14"/>
        <v>35.588000000000001</v>
      </c>
      <c r="L236" s="16">
        <f t="shared" si="15"/>
        <v>8.0420366415645775E-2</v>
      </c>
    </row>
    <row r="237" spans="1:12">
      <c r="A237" s="1" t="s">
        <v>3711</v>
      </c>
      <c r="B237" s="7">
        <v>45.4</v>
      </c>
      <c r="C237" s="7">
        <v>38.450000000000003</v>
      </c>
      <c r="D237" s="16">
        <f t="shared" si="12"/>
        <v>-0.15308370044052855</v>
      </c>
      <c r="E237" s="9">
        <v>38.47</v>
      </c>
      <c r="F237" s="16">
        <f t="shared" si="13"/>
        <v>-5.1988562516236088E-4</v>
      </c>
      <c r="G237" s="40"/>
      <c r="H237" s="16"/>
      <c r="I237" s="16"/>
      <c r="J237" s="56">
        <v>25.42</v>
      </c>
      <c r="K237" s="56">
        <f t="shared" si="14"/>
        <v>35.588000000000001</v>
      </c>
      <c r="L237" s="16">
        <f t="shared" si="15"/>
        <v>8.0420366415645775E-2</v>
      </c>
    </row>
    <row r="238" spans="1:12">
      <c r="A238" s="6" t="s">
        <v>3712</v>
      </c>
      <c r="B238" s="7"/>
      <c r="C238" s="7"/>
      <c r="D238" s="16"/>
      <c r="E238" s="9"/>
      <c r="F238" s="16"/>
      <c r="G238" s="40"/>
      <c r="H238" s="16"/>
      <c r="I238" s="16"/>
      <c r="J238" s="56"/>
      <c r="K238" s="56">
        <f t="shared" si="14"/>
        <v>0</v>
      </c>
      <c r="L238" s="16"/>
    </row>
    <row r="239" spans="1:12">
      <c r="A239" s="1" t="s">
        <v>3713</v>
      </c>
      <c r="B239" s="7">
        <v>35.450000000000003</v>
      </c>
      <c r="C239" s="7">
        <v>38.450000000000003</v>
      </c>
      <c r="D239" s="16">
        <f t="shared" si="12"/>
        <v>8.4626234132581094E-2</v>
      </c>
      <c r="E239" s="9">
        <v>38.47</v>
      </c>
      <c r="F239" s="16">
        <f t="shared" si="13"/>
        <v>-5.1988562516236088E-4</v>
      </c>
      <c r="G239" s="40"/>
      <c r="H239" s="16"/>
      <c r="I239" s="16"/>
      <c r="J239" s="56">
        <v>25.42</v>
      </c>
      <c r="K239" s="56">
        <f t="shared" si="14"/>
        <v>35.588000000000001</v>
      </c>
      <c r="L239" s="16">
        <f t="shared" si="15"/>
        <v>8.0420366415645775E-2</v>
      </c>
    </row>
    <row r="240" spans="1:12">
      <c r="A240" s="1" t="s">
        <v>3714</v>
      </c>
      <c r="B240" s="7">
        <v>35.56</v>
      </c>
      <c r="C240" s="7">
        <v>38.450000000000003</v>
      </c>
      <c r="D240" s="16">
        <f t="shared" si="12"/>
        <v>8.1271091113610805E-2</v>
      </c>
      <c r="E240" s="9">
        <v>38.47</v>
      </c>
      <c r="F240" s="16">
        <f t="shared" si="13"/>
        <v>-5.1988562516236088E-4</v>
      </c>
      <c r="G240" s="40"/>
      <c r="H240" s="16"/>
      <c r="I240" s="16"/>
      <c r="J240" s="56">
        <v>25.42</v>
      </c>
      <c r="K240" s="56">
        <f t="shared" si="14"/>
        <v>35.588000000000001</v>
      </c>
      <c r="L240" s="16">
        <f t="shared" si="15"/>
        <v>8.0420366415645775E-2</v>
      </c>
    </row>
    <row r="241" spans="1:12">
      <c r="A241" s="1" t="s">
        <v>3715</v>
      </c>
      <c r="B241" s="7">
        <v>35.78</v>
      </c>
      <c r="C241" s="7">
        <v>38.450000000000003</v>
      </c>
      <c r="D241" s="16">
        <f t="shared" si="12"/>
        <v>7.4622694242593671E-2</v>
      </c>
      <c r="E241" s="9">
        <v>38.47</v>
      </c>
      <c r="F241" s="16">
        <f t="shared" si="13"/>
        <v>-5.1988562516236088E-4</v>
      </c>
      <c r="G241" s="40"/>
      <c r="H241" s="16"/>
      <c r="I241" s="16"/>
      <c r="J241" s="56">
        <v>25.42</v>
      </c>
      <c r="K241" s="56">
        <f t="shared" si="14"/>
        <v>35.588000000000001</v>
      </c>
      <c r="L241" s="16">
        <f t="shared" si="15"/>
        <v>8.0420366415645775E-2</v>
      </c>
    </row>
    <row r="242" spans="1:12">
      <c r="A242" s="6" t="s">
        <v>3716</v>
      </c>
      <c r="B242" s="7"/>
      <c r="C242" s="7"/>
      <c r="D242" s="16"/>
      <c r="E242" s="9"/>
      <c r="F242" s="16"/>
      <c r="G242" s="40"/>
      <c r="H242" s="16"/>
      <c r="I242" s="16"/>
      <c r="J242" s="9"/>
      <c r="K242" s="56">
        <f t="shared" si="14"/>
        <v>0</v>
      </c>
      <c r="L242" s="16"/>
    </row>
    <row r="243" spans="1:12" ht="25.5">
      <c r="A243" s="1" t="s">
        <v>3717</v>
      </c>
      <c r="B243" s="7"/>
      <c r="C243" s="7"/>
      <c r="D243" s="16"/>
      <c r="E243" s="9"/>
      <c r="F243" s="16"/>
      <c r="G243" s="40"/>
      <c r="H243" s="16"/>
      <c r="I243" s="16"/>
      <c r="J243" s="9"/>
      <c r="K243" s="56">
        <f t="shared" si="14"/>
        <v>0</v>
      </c>
      <c r="L243" s="16"/>
    </row>
    <row r="244" spans="1:12" ht="25.5">
      <c r="A244" s="1" t="s">
        <v>3718</v>
      </c>
      <c r="B244" s="7"/>
      <c r="C244" s="7">
        <v>38.450000000000003</v>
      </c>
      <c r="D244" s="16">
        <v>1</v>
      </c>
      <c r="E244" s="9">
        <v>38.47</v>
      </c>
      <c r="F244" s="16">
        <f>(C244-E244)/E244</f>
        <v>-5.1988562516236088E-4</v>
      </c>
      <c r="G244" s="40"/>
      <c r="H244" s="16"/>
      <c r="I244" s="16"/>
      <c r="J244" s="56">
        <v>25.42</v>
      </c>
      <c r="K244" s="56">
        <f t="shared" si="14"/>
        <v>35.588000000000001</v>
      </c>
      <c r="L244" s="16">
        <f t="shared" si="15"/>
        <v>8.0420366415645775E-2</v>
      </c>
    </row>
    <row r="245" spans="1:12">
      <c r="A245" s="1" t="s">
        <v>3719</v>
      </c>
      <c r="B245" s="7"/>
      <c r="C245" s="7"/>
      <c r="D245" s="16"/>
      <c r="E245" s="9"/>
      <c r="F245" s="16"/>
      <c r="G245" s="40"/>
      <c r="H245" s="16"/>
      <c r="I245" s="16"/>
      <c r="J245" s="9"/>
      <c r="K245" s="56">
        <f t="shared" si="14"/>
        <v>0</v>
      </c>
      <c r="L245" s="16"/>
    </row>
    <row r="246" spans="1:12">
      <c r="A246" s="6" t="s">
        <v>3720</v>
      </c>
      <c r="B246" s="7"/>
      <c r="C246" s="7"/>
      <c r="D246" s="16"/>
      <c r="E246" s="9"/>
      <c r="F246" s="16"/>
      <c r="G246" s="40"/>
      <c r="H246" s="16"/>
      <c r="I246" s="16"/>
      <c r="J246" s="9"/>
      <c r="K246" s="56">
        <f t="shared" si="14"/>
        <v>0</v>
      </c>
      <c r="L246" s="16"/>
    </row>
    <row r="247" spans="1:12">
      <c r="A247" s="1" t="s">
        <v>3721</v>
      </c>
      <c r="B247" s="7">
        <v>35.43</v>
      </c>
      <c r="C247" s="7">
        <v>38.450000000000003</v>
      </c>
      <c r="D247" s="16">
        <f t="shared" ref="D247:D274" si="16">(C247-B247)/B247</f>
        <v>8.5238498447643335E-2</v>
      </c>
      <c r="E247" s="9">
        <v>38.47</v>
      </c>
      <c r="F247" s="16">
        <f t="shared" ref="F247:F274" si="17">(C247-E247)/E247</f>
        <v>-5.1988562516236088E-4</v>
      </c>
      <c r="G247" s="40"/>
      <c r="H247" s="16"/>
      <c r="I247" s="16"/>
      <c r="J247" s="56">
        <v>25.42</v>
      </c>
      <c r="K247" s="56">
        <f t="shared" si="14"/>
        <v>35.588000000000001</v>
      </c>
      <c r="L247" s="16">
        <f t="shared" si="15"/>
        <v>8.0420366415645775E-2</v>
      </c>
    </row>
    <row r="248" spans="1:12">
      <c r="A248" s="1" t="s">
        <v>3722</v>
      </c>
      <c r="B248" s="7">
        <v>35.450000000000003</v>
      </c>
      <c r="C248" s="7">
        <v>38.450000000000003</v>
      </c>
      <c r="D248" s="16">
        <f t="shared" si="16"/>
        <v>8.4626234132581094E-2</v>
      </c>
      <c r="E248" s="9">
        <v>38.47</v>
      </c>
      <c r="F248" s="16">
        <f t="shared" si="17"/>
        <v>-5.1988562516236088E-4</v>
      </c>
      <c r="G248" s="40"/>
      <c r="H248" s="16"/>
      <c r="I248" s="16"/>
      <c r="J248" s="56">
        <v>25.42</v>
      </c>
      <c r="K248" s="56">
        <f t="shared" si="14"/>
        <v>35.588000000000001</v>
      </c>
      <c r="L248" s="16">
        <f t="shared" si="15"/>
        <v>8.0420366415645775E-2</v>
      </c>
    </row>
    <row r="249" spans="1:12" ht="114.75">
      <c r="A249" s="1" t="s">
        <v>3723</v>
      </c>
      <c r="B249" s="7">
        <v>35.729999999999997</v>
      </c>
      <c r="C249" s="7">
        <v>38.450000000000003</v>
      </c>
      <c r="D249" s="16">
        <f t="shared" si="16"/>
        <v>7.6126504338091414E-2</v>
      </c>
      <c r="E249" s="9">
        <v>38.47</v>
      </c>
      <c r="F249" s="16">
        <f t="shared" si="17"/>
        <v>-5.1988562516236088E-4</v>
      </c>
      <c r="G249" s="40"/>
      <c r="H249" s="16"/>
      <c r="I249" s="16"/>
      <c r="J249" s="56">
        <v>25.42</v>
      </c>
      <c r="K249" s="56">
        <f t="shared" si="14"/>
        <v>35.588000000000001</v>
      </c>
      <c r="L249" s="16">
        <f t="shared" si="15"/>
        <v>8.0420366415645775E-2</v>
      </c>
    </row>
    <row r="250" spans="1:12">
      <c r="A250" s="1" t="s">
        <v>3724</v>
      </c>
      <c r="B250" s="7">
        <v>35.619999999999997</v>
      </c>
      <c r="C250" s="7">
        <v>38.450000000000003</v>
      </c>
      <c r="D250" s="16">
        <f t="shared" si="16"/>
        <v>7.9449747332959175E-2</v>
      </c>
      <c r="E250" s="9">
        <v>38.47</v>
      </c>
      <c r="F250" s="16">
        <f t="shared" si="17"/>
        <v>-5.1988562516236088E-4</v>
      </c>
      <c r="G250" s="40"/>
      <c r="H250" s="16"/>
      <c r="I250" s="16"/>
      <c r="J250" s="56">
        <v>25.42</v>
      </c>
      <c r="K250" s="56">
        <f t="shared" si="14"/>
        <v>35.588000000000001</v>
      </c>
      <c r="L250" s="16">
        <f t="shared" si="15"/>
        <v>8.0420366415645775E-2</v>
      </c>
    </row>
    <row r="251" spans="1:12" ht="25.5">
      <c r="A251" s="1" t="s">
        <v>3725</v>
      </c>
      <c r="B251" s="7">
        <v>35.619999999999997</v>
      </c>
      <c r="C251" s="7">
        <v>38.450000000000003</v>
      </c>
      <c r="D251" s="16">
        <f t="shared" si="16"/>
        <v>7.9449747332959175E-2</v>
      </c>
      <c r="E251" s="9">
        <v>38.47</v>
      </c>
      <c r="F251" s="16">
        <f t="shared" si="17"/>
        <v>-5.1988562516236088E-4</v>
      </c>
      <c r="G251" s="40"/>
      <c r="H251" s="16"/>
      <c r="I251" s="16"/>
      <c r="J251" s="56">
        <v>25.42</v>
      </c>
      <c r="K251" s="56">
        <f t="shared" si="14"/>
        <v>35.588000000000001</v>
      </c>
      <c r="L251" s="16">
        <f t="shared" si="15"/>
        <v>8.0420366415645775E-2</v>
      </c>
    </row>
    <row r="252" spans="1:12">
      <c r="A252" s="1" t="s">
        <v>3726</v>
      </c>
      <c r="B252" s="7">
        <v>35.619999999999997</v>
      </c>
      <c r="C252" s="7">
        <v>38.450000000000003</v>
      </c>
      <c r="D252" s="16">
        <f t="shared" si="16"/>
        <v>7.9449747332959175E-2</v>
      </c>
      <c r="E252" s="9">
        <v>38.47</v>
      </c>
      <c r="F252" s="16">
        <f t="shared" si="17"/>
        <v>-5.1988562516236088E-4</v>
      </c>
      <c r="G252" s="40"/>
      <c r="H252" s="16"/>
      <c r="I252" s="16"/>
      <c r="J252" s="56">
        <v>25.42</v>
      </c>
      <c r="K252" s="56">
        <f t="shared" si="14"/>
        <v>35.588000000000001</v>
      </c>
      <c r="L252" s="16">
        <f t="shared" si="15"/>
        <v>8.0420366415645775E-2</v>
      </c>
    </row>
    <row r="253" spans="1:12" ht="25.5">
      <c r="A253" s="1" t="s">
        <v>3727</v>
      </c>
      <c r="B253" s="7">
        <v>35.51</v>
      </c>
      <c r="C253" s="7">
        <v>38.450000000000003</v>
      </c>
      <c r="D253" s="16">
        <f t="shared" si="16"/>
        <v>8.2793579273444246E-2</v>
      </c>
      <c r="E253" s="9">
        <v>38.47</v>
      </c>
      <c r="F253" s="16">
        <f t="shared" si="17"/>
        <v>-5.1988562516236088E-4</v>
      </c>
      <c r="G253" s="40"/>
      <c r="H253" s="16"/>
      <c r="I253" s="16"/>
      <c r="J253" s="56">
        <v>25.42</v>
      </c>
      <c r="K253" s="56">
        <f t="shared" si="14"/>
        <v>35.588000000000001</v>
      </c>
      <c r="L253" s="16">
        <f t="shared" si="15"/>
        <v>8.0420366415645775E-2</v>
      </c>
    </row>
    <row r="254" spans="1:12">
      <c r="A254" s="1" t="s">
        <v>3728</v>
      </c>
      <c r="B254" s="7">
        <v>33.340000000000003</v>
      </c>
      <c r="C254" s="7">
        <v>38.450000000000003</v>
      </c>
      <c r="D254" s="16">
        <f t="shared" si="16"/>
        <v>0.15326934613077381</v>
      </c>
      <c r="E254" s="9">
        <v>38.47</v>
      </c>
      <c r="F254" s="16">
        <f t="shared" si="17"/>
        <v>-5.1988562516236088E-4</v>
      </c>
      <c r="G254" s="40"/>
      <c r="H254" s="16"/>
      <c r="I254" s="16"/>
      <c r="J254" s="56">
        <v>25.42</v>
      </c>
      <c r="K254" s="56">
        <f t="shared" si="14"/>
        <v>35.588000000000001</v>
      </c>
      <c r="L254" s="16">
        <f t="shared" si="15"/>
        <v>8.0420366415645775E-2</v>
      </c>
    </row>
    <row r="255" spans="1:12">
      <c r="A255" s="6" t="s">
        <v>3729</v>
      </c>
      <c r="B255" s="7"/>
      <c r="C255" s="7"/>
      <c r="D255" s="16"/>
      <c r="E255" s="9"/>
      <c r="F255" s="16"/>
      <c r="G255" s="40"/>
      <c r="H255" s="16"/>
      <c r="I255" s="16"/>
      <c r="J255" s="9"/>
      <c r="K255" s="56">
        <f t="shared" si="14"/>
        <v>0</v>
      </c>
      <c r="L255" s="16"/>
    </row>
    <row r="256" spans="1:12">
      <c r="A256" s="1" t="s">
        <v>3730</v>
      </c>
      <c r="B256" s="7">
        <v>35.07</v>
      </c>
      <c r="C256" s="7">
        <v>38.450000000000003</v>
      </c>
      <c r="D256" s="16">
        <f t="shared" si="16"/>
        <v>9.6378671228970703E-2</v>
      </c>
      <c r="E256" s="9">
        <v>38.47</v>
      </c>
      <c r="F256" s="16">
        <f t="shared" si="17"/>
        <v>-5.1988562516236088E-4</v>
      </c>
      <c r="G256" s="40"/>
      <c r="H256" s="16"/>
      <c r="I256" s="16"/>
      <c r="J256" s="56">
        <v>25.42</v>
      </c>
      <c r="K256" s="56">
        <f t="shared" si="14"/>
        <v>35.588000000000001</v>
      </c>
      <c r="L256" s="16">
        <f t="shared" si="15"/>
        <v>8.0420366415645775E-2</v>
      </c>
    </row>
    <row r="257" spans="1:12">
      <c r="A257" s="1" t="s">
        <v>3731</v>
      </c>
      <c r="B257" s="7">
        <v>35.18</v>
      </c>
      <c r="C257" s="7">
        <v>38.450000000000003</v>
      </c>
      <c r="D257" s="16">
        <f t="shared" si="16"/>
        <v>9.2950540079590763E-2</v>
      </c>
      <c r="E257" s="9">
        <v>38.47</v>
      </c>
      <c r="F257" s="16">
        <f t="shared" si="17"/>
        <v>-5.1988562516236088E-4</v>
      </c>
      <c r="G257" s="40"/>
      <c r="H257" s="16"/>
      <c r="I257" s="16"/>
      <c r="J257" s="56">
        <v>25.42</v>
      </c>
      <c r="K257" s="56">
        <f t="shared" si="14"/>
        <v>35.588000000000001</v>
      </c>
      <c r="L257" s="16">
        <f t="shared" si="15"/>
        <v>8.0420366415645775E-2</v>
      </c>
    </row>
    <row r="258" spans="1:12" ht="25.5">
      <c r="A258" s="1" t="s">
        <v>3732</v>
      </c>
      <c r="B258" s="7">
        <v>49.66</v>
      </c>
      <c r="C258" s="7">
        <v>38.450000000000003</v>
      </c>
      <c r="D258" s="16">
        <f t="shared" si="16"/>
        <v>-0.22573499798630678</v>
      </c>
      <c r="E258" s="9">
        <v>38.47</v>
      </c>
      <c r="F258" s="16">
        <f t="shared" si="17"/>
        <v>-5.1988562516236088E-4</v>
      </c>
      <c r="G258" s="40"/>
      <c r="H258" s="16"/>
      <c r="I258" s="16"/>
      <c r="J258" s="56">
        <v>25.42</v>
      </c>
      <c r="K258" s="56">
        <f t="shared" si="14"/>
        <v>35.588000000000001</v>
      </c>
      <c r="L258" s="16">
        <f t="shared" si="15"/>
        <v>8.0420366415645775E-2</v>
      </c>
    </row>
    <row r="259" spans="1:12">
      <c r="A259" s="1" t="s">
        <v>3733</v>
      </c>
      <c r="B259" s="7">
        <v>35.29</v>
      </c>
      <c r="C259" s="7">
        <v>38.450000000000003</v>
      </c>
      <c r="D259" s="16">
        <f t="shared" si="16"/>
        <v>8.9543780107679341E-2</v>
      </c>
      <c r="E259" s="9">
        <v>38.47</v>
      </c>
      <c r="F259" s="16">
        <f t="shared" si="17"/>
        <v>-5.1988562516236088E-4</v>
      </c>
      <c r="G259" s="40"/>
      <c r="H259" s="16"/>
      <c r="I259" s="16"/>
      <c r="J259" s="56">
        <v>25.42</v>
      </c>
      <c r="K259" s="56">
        <f t="shared" si="14"/>
        <v>35.588000000000001</v>
      </c>
      <c r="L259" s="16">
        <f t="shared" si="15"/>
        <v>8.0420366415645775E-2</v>
      </c>
    </row>
    <row r="260" spans="1:12" ht="25.5">
      <c r="A260" s="6" t="s">
        <v>3734</v>
      </c>
      <c r="B260" s="7"/>
      <c r="C260" s="7"/>
      <c r="D260" s="16"/>
      <c r="E260" s="9"/>
      <c r="F260" s="16"/>
      <c r="G260" s="40"/>
      <c r="H260" s="16"/>
      <c r="I260" s="16"/>
      <c r="J260" s="9"/>
      <c r="K260" s="56">
        <f t="shared" si="14"/>
        <v>0</v>
      </c>
      <c r="L260" s="16"/>
    </row>
    <row r="261" spans="1:12">
      <c r="A261" s="1" t="s">
        <v>3735</v>
      </c>
      <c r="B261" s="7">
        <v>35.18</v>
      </c>
      <c r="C261" s="7">
        <v>38.450000000000003</v>
      </c>
      <c r="D261" s="16">
        <f t="shared" si="16"/>
        <v>9.2950540079590763E-2</v>
      </c>
      <c r="E261" s="9">
        <v>38.47</v>
      </c>
      <c r="F261" s="16">
        <f t="shared" si="17"/>
        <v>-5.1988562516236088E-4</v>
      </c>
      <c r="G261" s="40"/>
      <c r="H261" s="16"/>
      <c r="I261" s="16"/>
      <c r="J261" s="56">
        <v>25.42</v>
      </c>
      <c r="K261" s="56">
        <f t="shared" si="14"/>
        <v>35.588000000000001</v>
      </c>
      <c r="L261" s="16">
        <f t="shared" si="15"/>
        <v>8.0420366415645775E-2</v>
      </c>
    </row>
    <row r="262" spans="1:12">
      <c r="A262" s="1" t="s">
        <v>3736</v>
      </c>
      <c r="B262" s="7">
        <v>35.29</v>
      </c>
      <c r="C262" s="7">
        <v>38.450000000000003</v>
      </c>
      <c r="D262" s="16">
        <f t="shared" si="16"/>
        <v>8.9543780107679341E-2</v>
      </c>
      <c r="E262" s="9">
        <v>38.47</v>
      </c>
      <c r="F262" s="16">
        <f t="shared" si="17"/>
        <v>-5.1988562516236088E-4</v>
      </c>
      <c r="G262" s="40"/>
      <c r="H262" s="16"/>
      <c r="I262" s="16"/>
      <c r="J262" s="56">
        <v>25.42</v>
      </c>
      <c r="K262" s="56">
        <f t="shared" si="14"/>
        <v>35.588000000000001</v>
      </c>
      <c r="L262" s="16">
        <f t="shared" si="15"/>
        <v>8.0420366415645775E-2</v>
      </c>
    </row>
    <row r="263" spans="1:12">
      <c r="A263" s="1" t="s">
        <v>3737</v>
      </c>
      <c r="B263" s="7">
        <v>35.130000000000003</v>
      </c>
      <c r="C263" s="7">
        <v>38.450000000000003</v>
      </c>
      <c r="D263" s="16">
        <f t="shared" si="16"/>
        <v>9.4506120125249074E-2</v>
      </c>
      <c r="E263" s="9">
        <v>38.47</v>
      </c>
      <c r="F263" s="16">
        <f t="shared" si="17"/>
        <v>-5.1988562516236088E-4</v>
      </c>
      <c r="G263" s="40"/>
      <c r="H263" s="16"/>
      <c r="I263" s="16"/>
      <c r="J263" s="56">
        <v>25.42</v>
      </c>
      <c r="K263" s="56">
        <f t="shared" si="14"/>
        <v>35.588000000000001</v>
      </c>
      <c r="L263" s="16">
        <f t="shared" si="15"/>
        <v>8.0420366415645775E-2</v>
      </c>
    </row>
    <row r="264" spans="1:12">
      <c r="A264" s="1" t="s">
        <v>3738</v>
      </c>
      <c r="B264" s="7">
        <v>35.24</v>
      </c>
      <c r="C264" s="7">
        <v>38.450000000000003</v>
      </c>
      <c r="D264" s="16">
        <f t="shared" si="16"/>
        <v>9.1089670828603878E-2</v>
      </c>
      <c r="E264" s="9">
        <v>38.47</v>
      </c>
      <c r="F264" s="16">
        <f t="shared" si="17"/>
        <v>-5.1988562516236088E-4</v>
      </c>
      <c r="G264" s="40"/>
      <c r="H264" s="16"/>
      <c r="I264" s="16"/>
      <c r="J264" s="56">
        <v>25.42</v>
      </c>
      <c r="K264" s="56">
        <f t="shared" si="14"/>
        <v>35.588000000000001</v>
      </c>
      <c r="L264" s="16">
        <f t="shared" si="15"/>
        <v>8.0420366415645775E-2</v>
      </c>
    </row>
    <row r="265" spans="1:12">
      <c r="A265" s="1" t="s">
        <v>3739</v>
      </c>
      <c r="B265" s="7">
        <v>35.450000000000003</v>
      </c>
      <c r="C265" s="7">
        <v>38.450000000000003</v>
      </c>
      <c r="D265" s="16">
        <f t="shared" si="16"/>
        <v>8.4626234132581094E-2</v>
      </c>
      <c r="E265" s="9">
        <v>38.47</v>
      </c>
      <c r="F265" s="16">
        <f t="shared" si="17"/>
        <v>-5.1988562516236088E-4</v>
      </c>
      <c r="G265" s="40"/>
      <c r="H265" s="16"/>
      <c r="I265" s="16"/>
      <c r="J265" s="56">
        <v>25.42</v>
      </c>
      <c r="K265" s="56">
        <f t="shared" si="14"/>
        <v>35.588000000000001</v>
      </c>
      <c r="L265" s="16">
        <f t="shared" si="15"/>
        <v>8.0420366415645775E-2</v>
      </c>
    </row>
    <row r="266" spans="1:12">
      <c r="A266" s="1" t="s">
        <v>3740</v>
      </c>
      <c r="B266" s="7">
        <v>35.78</v>
      </c>
      <c r="C266" s="7">
        <v>38.450000000000003</v>
      </c>
      <c r="D266" s="16">
        <f t="shared" si="16"/>
        <v>7.4622694242593671E-2</v>
      </c>
      <c r="E266" s="9">
        <v>38.47</v>
      </c>
      <c r="F266" s="16">
        <f t="shared" si="17"/>
        <v>-5.1988562516236088E-4</v>
      </c>
      <c r="G266" s="40"/>
      <c r="H266" s="16"/>
      <c r="I266" s="16"/>
      <c r="J266" s="56">
        <v>25.42</v>
      </c>
      <c r="K266" s="56">
        <f t="shared" si="14"/>
        <v>35.588000000000001</v>
      </c>
      <c r="L266" s="16">
        <f t="shared" si="15"/>
        <v>8.0420366415645775E-2</v>
      </c>
    </row>
    <row r="267" spans="1:12" ht="25.5">
      <c r="A267" s="1" t="s">
        <v>3741</v>
      </c>
      <c r="B267" s="7">
        <v>33.14</v>
      </c>
      <c r="C267" s="7">
        <v>38.450000000000003</v>
      </c>
      <c r="D267" s="16">
        <f t="shared" si="16"/>
        <v>0.16022933011466511</v>
      </c>
      <c r="E267" s="9">
        <v>38.47</v>
      </c>
      <c r="F267" s="16">
        <f t="shared" si="17"/>
        <v>-5.1988562516236088E-4</v>
      </c>
      <c r="G267" s="40"/>
      <c r="H267" s="16"/>
      <c r="I267" s="16"/>
      <c r="J267" s="56">
        <v>25.42</v>
      </c>
      <c r="K267" s="56">
        <f t="shared" si="14"/>
        <v>35.588000000000001</v>
      </c>
      <c r="L267" s="16">
        <f t="shared" si="15"/>
        <v>8.0420366415645775E-2</v>
      </c>
    </row>
    <row r="268" spans="1:12" ht="25.5">
      <c r="A268" s="1" t="s">
        <v>3742</v>
      </c>
      <c r="B268" s="7">
        <v>35.130000000000003</v>
      </c>
      <c r="C268" s="7">
        <v>38.450000000000003</v>
      </c>
      <c r="D268" s="16">
        <f t="shared" si="16"/>
        <v>9.4506120125249074E-2</v>
      </c>
      <c r="E268" s="9">
        <v>38.47</v>
      </c>
      <c r="F268" s="16">
        <f t="shared" si="17"/>
        <v>-5.1988562516236088E-4</v>
      </c>
      <c r="G268" s="40"/>
      <c r="H268" s="16"/>
      <c r="I268" s="16"/>
      <c r="J268" s="56">
        <v>25.42</v>
      </c>
      <c r="K268" s="56">
        <f t="shared" si="14"/>
        <v>35.588000000000001</v>
      </c>
      <c r="L268" s="16">
        <f t="shared" si="15"/>
        <v>8.0420366415645775E-2</v>
      </c>
    </row>
    <row r="269" spans="1:12">
      <c r="A269" s="1" t="s">
        <v>3743</v>
      </c>
      <c r="B269" s="7">
        <v>35.18</v>
      </c>
      <c r="C269" s="7">
        <v>38.450000000000003</v>
      </c>
      <c r="D269" s="16">
        <f t="shared" si="16"/>
        <v>9.2950540079590763E-2</v>
      </c>
      <c r="E269" s="9">
        <v>38.47</v>
      </c>
      <c r="F269" s="16">
        <f t="shared" si="17"/>
        <v>-5.1988562516236088E-4</v>
      </c>
      <c r="G269" s="40"/>
      <c r="H269" s="16"/>
      <c r="I269" s="16"/>
      <c r="J269" s="56">
        <v>25.42</v>
      </c>
      <c r="K269" s="56">
        <f t="shared" si="14"/>
        <v>35.588000000000001</v>
      </c>
      <c r="L269" s="16">
        <f t="shared" si="15"/>
        <v>8.0420366415645775E-2</v>
      </c>
    </row>
    <row r="270" spans="1:12">
      <c r="A270" s="1" t="s">
        <v>3744</v>
      </c>
      <c r="B270" s="7">
        <v>35.18</v>
      </c>
      <c r="C270" s="7">
        <v>38.450000000000003</v>
      </c>
      <c r="D270" s="16">
        <f t="shared" si="16"/>
        <v>9.2950540079590763E-2</v>
      </c>
      <c r="E270" s="9">
        <v>38.47</v>
      </c>
      <c r="F270" s="16">
        <f t="shared" si="17"/>
        <v>-5.1988562516236088E-4</v>
      </c>
      <c r="G270" s="40"/>
      <c r="H270" s="16"/>
      <c r="I270" s="16"/>
      <c r="J270" s="56">
        <v>25.42</v>
      </c>
      <c r="K270" s="56">
        <f t="shared" si="14"/>
        <v>35.588000000000001</v>
      </c>
      <c r="L270" s="16">
        <f t="shared" si="15"/>
        <v>8.0420366415645775E-2</v>
      </c>
    </row>
    <row r="271" spans="1:12">
      <c r="A271" s="1" t="s">
        <v>3745</v>
      </c>
      <c r="B271" s="7">
        <v>35.18</v>
      </c>
      <c r="C271" s="7">
        <v>38.450000000000003</v>
      </c>
      <c r="D271" s="16">
        <f t="shared" si="16"/>
        <v>9.2950540079590763E-2</v>
      </c>
      <c r="E271" s="9">
        <v>38.47</v>
      </c>
      <c r="F271" s="16">
        <f t="shared" si="17"/>
        <v>-5.1988562516236088E-4</v>
      </c>
      <c r="G271" s="40"/>
      <c r="H271" s="16"/>
      <c r="I271" s="16"/>
      <c r="J271" s="56">
        <v>25.42</v>
      </c>
      <c r="K271" s="56">
        <f t="shared" si="14"/>
        <v>35.588000000000001</v>
      </c>
      <c r="L271" s="16">
        <f t="shared" si="15"/>
        <v>8.0420366415645775E-2</v>
      </c>
    </row>
    <row r="272" spans="1:12">
      <c r="A272" s="1" t="s">
        <v>3746</v>
      </c>
      <c r="B272" s="7">
        <v>35.619999999999997</v>
      </c>
      <c r="C272" s="7">
        <v>38.450000000000003</v>
      </c>
      <c r="D272" s="16">
        <f t="shared" si="16"/>
        <v>7.9449747332959175E-2</v>
      </c>
      <c r="E272" s="9">
        <v>38.47</v>
      </c>
      <c r="F272" s="16">
        <f t="shared" si="17"/>
        <v>-5.1988562516236088E-4</v>
      </c>
      <c r="G272" s="40"/>
      <c r="H272" s="16"/>
      <c r="I272" s="16"/>
      <c r="J272" s="56">
        <v>25.42</v>
      </c>
      <c r="K272" s="56">
        <f t="shared" si="14"/>
        <v>35.588000000000001</v>
      </c>
      <c r="L272" s="16">
        <f t="shared" si="15"/>
        <v>8.0420366415645775E-2</v>
      </c>
    </row>
    <row r="273" spans="1:12">
      <c r="A273" s="1" t="s">
        <v>3747</v>
      </c>
      <c r="B273" s="7">
        <v>36.04</v>
      </c>
      <c r="C273" s="7">
        <v>38.450000000000003</v>
      </c>
      <c r="D273" s="16">
        <f t="shared" si="16"/>
        <v>6.6870144284128852E-2</v>
      </c>
      <c r="E273" s="9">
        <v>38.47</v>
      </c>
      <c r="F273" s="16">
        <f t="shared" si="17"/>
        <v>-5.1988562516236088E-4</v>
      </c>
      <c r="G273" s="40"/>
      <c r="H273" s="16"/>
      <c r="I273" s="16"/>
      <c r="J273" s="56">
        <v>25.42</v>
      </c>
      <c r="K273" s="56">
        <f t="shared" si="14"/>
        <v>35.588000000000001</v>
      </c>
      <c r="L273" s="16">
        <f t="shared" si="15"/>
        <v>8.0420366415645775E-2</v>
      </c>
    </row>
    <row r="274" spans="1:12">
      <c r="A274" s="2" t="s">
        <v>3748</v>
      </c>
      <c r="B274" s="10">
        <f>B273+0.5</f>
        <v>36.54</v>
      </c>
      <c r="C274" s="10">
        <f>C273+0.5</f>
        <v>38.950000000000003</v>
      </c>
      <c r="D274" s="16">
        <f t="shared" si="16"/>
        <v>6.5955117679255715E-2</v>
      </c>
      <c r="E274" s="9">
        <v>38.47</v>
      </c>
      <c r="F274" s="16">
        <f t="shared" si="17"/>
        <v>1.2477255003899247E-2</v>
      </c>
      <c r="G274" s="40"/>
      <c r="H274" s="16"/>
      <c r="I274" s="16"/>
      <c r="J274" s="56">
        <v>25.42</v>
      </c>
      <c r="K274" s="56">
        <f t="shared" si="14"/>
        <v>35.588000000000001</v>
      </c>
      <c r="L274" s="16">
        <f t="shared" si="15"/>
        <v>9.4470046082949358E-2</v>
      </c>
    </row>
    <row r="275" spans="1:12">
      <c r="A275" s="1"/>
      <c r="B275" s="7"/>
      <c r="C275" s="7"/>
      <c r="D275" s="16"/>
      <c r="E275" s="9"/>
      <c r="F275" s="16"/>
      <c r="G275" s="40"/>
      <c r="H275" s="16"/>
      <c r="I275" s="16"/>
      <c r="J275" s="9"/>
      <c r="K275" s="56"/>
      <c r="L275" s="16"/>
    </row>
    <row r="276" spans="1:12">
      <c r="A276" s="1"/>
      <c r="B276" s="7"/>
      <c r="C276" s="7"/>
      <c r="D276" s="16"/>
      <c r="E276" s="9"/>
      <c r="F276" s="16"/>
      <c r="G276" s="40"/>
      <c r="H276" s="16"/>
      <c r="I276" s="16"/>
      <c r="J276" s="9"/>
      <c r="K276" s="56"/>
      <c r="L276" s="16"/>
    </row>
    <row r="277" spans="1:12">
      <c r="A277" s="2" t="s">
        <v>3666</v>
      </c>
      <c r="B277" s="7"/>
      <c r="C277" s="31"/>
      <c r="D277" s="43"/>
      <c r="E277" s="44"/>
      <c r="F277" s="43"/>
      <c r="G277" s="23" t="s">
        <v>3984</v>
      </c>
      <c r="H277" s="43"/>
      <c r="I277" s="43">
        <f>AVERAGE(F278)</f>
        <v>0</v>
      </c>
      <c r="J277" s="44"/>
      <c r="K277" s="56"/>
      <c r="L277" s="16"/>
    </row>
    <row r="278" spans="1:12">
      <c r="A278" s="1" t="s">
        <v>3928</v>
      </c>
      <c r="B278" s="7">
        <v>21.41</v>
      </c>
      <c r="C278" s="7">
        <v>22.34</v>
      </c>
      <c r="D278" s="16">
        <f>(C278-B278)/B278</f>
        <v>4.3437645959831843E-2</v>
      </c>
      <c r="E278" s="9">
        <v>22.34</v>
      </c>
      <c r="F278" s="16">
        <f>(C278-E278)/E278</f>
        <v>0</v>
      </c>
      <c r="G278" s="40"/>
      <c r="H278" s="16"/>
      <c r="I278" s="16"/>
      <c r="J278" s="9"/>
      <c r="K278" s="56"/>
      <c r="L278" s="16"/>
    </row>
    <row r="279" spans="1:12">
      <c r="A279" s="1"/>
      <c r="B279" s="7"/>
      <c r="C279" s="7"/>
      <c r="D279" s="16"/>
      <c r="E279" s="9"/>
      <c r="F279" s="16"/>
      <c r="G279" s="40"/>
      <c r="H279" s="16"/>
      <c r="I279" s="16"/>
      <c r="J279" s="9"/>
      <c r="K279" s="56"/>
      <c r="L279" s="16"/>
    </row>
    <row r="280" spans="1:12" ht="63.75">
      <c r="A280" s="2" t="s">
        <v>3668</v>
      </c>
      <c r="B280" s="12" t="s">
        <v>3649</v>
      </c>
      <c r="C280" s="12" t="s">
        <v>3649</v>
      </c>
      <c r="D280" s="43"/>
      <c r="E280" s="44"/>
      <c r="F280" s="43"/>
      <c r="G280" s="23" t="s">
        <v>3983</v>
      </c>
      <c r="H280" s="43">
        <f>AVERAGE(F281)</f>
        <v>2.1562766865926515E-2</v>
      </c>
      <c r="I280" s="43"/>
      <c r="J280" s="44"/>
      <c r="K280" s="56"/>
      <c r="L280" s="16"/>
    </row>
    <row r="281" spans="1:12" ht="25.5">
      <c r="A281" s="1" t="s">
        <v>3670</v>
      </c>
      <c r="B281" s="7">
        <v>46.1</v>
      </c>
      <c r="C281" s="7">
        <v>47.85</v>
      </c>
      <c r="D281" s="16">
        <f>(C281-B281)/B281</f>
        <v>3.7960954446854663E-2</v>
      </c>
      <c r="E281" s="9">
        <v>46.84</v>
      </c>
      <c r="F281" s="16">
        <f>(C281-E281)/E281</f>
        <v>2.1562766865926515E-2</v>
      </c>
      <c r="G281" s="40"/>
      <c r="H281" s="16"/>
      <c r="I281" s="16"/>
      <c r="J281" s="9"/>
      <c r="K281" s="56"/>
      <c r="L281" s="16"/>
    </row>
    <row r="282" spans="1:12">
      <c r="A282" s="1"/>
      <c r="B282" s="7"/>
      <c r="C282" s="7"/>
      <c r="D282" s="16"/>
      <c r="E282" s="9"/>
      <c r="F282" s="16"/>
      <c r="G282" s="40"/>
      <c r="H282" s="16"/>
      <c r="I282" s="16"/>
      <c r="J282" s="9"/>
      <c r="K282" s="56"/>
      <c r="L282" s="16"/>
    </row>
    <row r="283" spans="1:12">
      <c r="A283" s="2" t="s">
        <v>3671</v>
      </c>
      <c r="B283" s="7"/>
      <c r="C283" s="31" t="s">
        <v>3487</v>
      </c>
      <c r="D283" s="43"/>
      <c r="E283" s="44"/>
      <c r="F283" s="43"/>
      <c r="G283" s="23" t="s">
        <v>3983</v>
      </c>
      <c r="H283" s="43">
        <f>AVERAGE(F284:F287)</f>
        <v>-2.9934847684451788E-3</v>
      </c>
      <c r="I283" s="43"/>
      <c r="J283" s="44"/>
      <c r="K283" s="56"/>
      <c r="L283" s="16"/>
    </row>
    <row r="284" spans="1:12">
      <c r="A284" s="1" t="s">
        <v>3672</v>
      </c>
      <c r="B284" s="7">
        <v>45.65</v>
      </c>
      <c r="C284" s="7">
        <v>56.62</v>
      </c>
      <c r="D284" s="16">
        <f>(C284-B284)/B284</f>
        <v>0.24030668127053667</v>
      </c>
      <c r="E284" s="9">
        <v>56.79</v>
      </c>
      <c r="F284" s="16">
        <f>(C284-E284)/E284</f>
        <v>-2.9934847684451788E-3</v>
      </c>
      <c r="G284" s="40"/>
      <c r="H284" s="16"/>
      <c r="I284" s="16"/>
      <c r="J284" s="9"/>
      <c r="K284" s="56"/>
      <c r="L284" s="16"/>
    </row>
    <row r="285" spans="1:12">
      <c r="A285" s="1"/>
      <c r="B285" s="7"/>
      <c r="C285" s="7"/>
      <c r="D285" s="16"/>
      <c r="E285" s="9"/>
      <c r="F285" s="16"/>
      <c r="G285" s="40"/>
      <c r="H285" s="16"/>
      <c r="I285" s="16"/>
      <c r="J285" s="9"/>
      <c r="K285" s="56"/>
      <c r="L285" s="16"/>
    </row>
    <row r="286" spans="1:12" ht="25.5">
      <c r="A286" s="2" t="s">
        <v>3673</v>
      </c>
      <c r="B286" s="7"/>
      <c r="C286" s="31" t="s">
        <v>3487</v>
      </c>
      <c r="D286" s="43"/>
      <c r="E286" s="44"/>
      <c r="F286" s="43"/>
      <c r="G286" s="23"/>
      <c r="H286" s="43"/>
      <c r="I286" s="43"/>
      <c r="J286" s="44"/>
      <c r="K286" s="56"/>
      <c r="L286" s="16"/>
    </row>
    <row r="287" spans="1:12">
      <c r="A287" s="1" t="s">
        <v>3674</v>
      </c>
      <c r="B287" s="7">
        <v>45.65</v>
      </c>
      <c r="C287" s="7">
        <v>56.62</v>
      </c>
      <c r="D287" s="16">
        <f>(C287-B287)/B287</f>
        <v>0.24030668127053667</v>
      </c>
      <c r="E287" s="9">
        <v>56.79</v>
      </c>
      <c r="F287" s="16">
        <f>(C287-E287)/E287</f>
        <v>-2.9934847684451788E-3</v>
      </c>
      <c r="G287" s="40"/>
      <c r="H287" s="43"/>
      <c r="I287" s="16"/>
      <c r="J287" s="9"/>
      <c r="K287" s="56"/>
      <c r="L287" s="16"/>
    </row>
    <row r="289" spans="1:7">
      <c r="A289" s="8" t="s">
        <v>3988</v>
      </c>
      <c r="B289" s="7"/>
      <c r="D289" s="16"/>
      <c r="E289" s="9"/>
      <c r="F289" s="16"/>
      <c r="G289" s="40"/>
    </row>
    <row r="290" spans="1:7">
      <c r="A290" s="1" t="s">
        <v>3986</v>
      </c>
      <c r="B290" s="7"/>
      <c r="D290" s="16"/>
      <c r="E290" s="9"/>
      <c r="F290" s="16"/>
      <c r="G290" s="40">
        <f>COUNTIF(G4:G287,"Y")</f>
        <v>28</v>
      </c>
    </row>
    <row r="291" spans="1:7">
      <c r="A291" s="1" t="s">
        <v>3987</v>
      </c>
      <c r="B291" s="7"/>
      <c r="D291" s="16"/>
      <c r="E291" s="9"/>
      <c r="F291" s="16"/>
      <c r="G291" s="41">
        <f>COUNTIF(G4:G288,"N")</f>
        <v>10</v>
      </c>
    </row>
    <row r="292" spans="1:7">
      <c r="A292" s="8" t="s">
        <v>3985</v>
      </c>
      <c r="B292"/>
      <c r="E292" s="9"/>
      <c r="F292" s="16"/>
      <c r="G292" s="23">
        <f>SUM(G290:G291)</f>
        <v>38</v>
      </c>
    </row>
  </sheetData>
  <mergeCells count="24">
    <mergeCell ref="A226:B226"/>
    <mergeCell ref="A176:B176"/>
    <mergeCell ref="A180:B180"/>
    <mergeCell ref="A224:B224"/>
    <mergeCell ref="A145:B145"/>
    <mergeCell ref="B146:B147"/>
    <mergeCell ref="A165:B165"/>
    <mergeCell ref="A166:B166"/>
    <mergeCell ref="C129:C130"/>
    <mergeCell ref="C146:C147"/>
    <mergeCell ref="A26:B26"/>
    <mergeCell ref="A30:B30"/>
    <mergeCell ref="A65:B65"/>
    <mergeCell ref="A68:B68"/>
    <mergeCell ref="C79:C81"/>
    <mergeCell ref="C108:C109"/>
    <mergeCell ref="A107:B107"/>
    <mergeCell ref="B108:B109"/>
    <mergeCell ref="A128:B128"/>
    <mergeCell ref="B129:B130"/>
    <mergeCell ref="A78:B78"/>
    <mergeCell ref="B79:B81"/>
    <mergeCell ref="A96:B96"/>
    <mergeCell ref="A101:B101"/>
  </mergeCells>
  <phoneticPr fontId="2" type="noConversion"/>
  <hyperlinks>
    <hyperlink ref="A1" r:id="rId1" display="http://www.laborcommissioner.com/10rates/lander.html"/>
    <hyperlink ref="B17" location="BRICK ZONE 07" display="BRICK ZONE 07"/>
    <hyperlink ref="B20" location="Carp" display="Carp"/>
    <hyperlink ref="B50" location="laborer zone" display="laborer zone"/>
    <hyperlink ref="B53" location="laborer zone" display="laborer zone"/>
    <hyperlink ref="B63" location="laborer zone" display="laborer zone"/>
    <hyperlink ref="B66" location="Hod Plaster Zone" display="Hod Plaster Zone"/>
    <hyperlink ref="B69" location="Hod Plaster Zone" display="Hod Plaster Zone"/>
    <hyperlink ref="B74" r:id="rId2" display="http://www.laborcommissioner.com/10rates/2010 Amendments/2010Amendment1.htm"/>
    <hyperlink ref="A80" location="LABORER GROUP" display="LABORER GROUP"/>
    <hyperlink ref="B79" location="laborer zone" display="laborer zone"/>
    <hyperlink ref="B97" r:id="rId3" display="http://www.laborcommissioner.com/10rates/2010 Amendments/2010Amendment2.htm"/>
    <hyperlink ref="A109" location="OP GROUPS" display="OP GROUPS"/>
    <hyperlink ref="B108" location="OP ZONE" display="OP ZONE"/>
    <hyperlink ref="A130" location="OP GROUP  STEEL" display="OP GROUP  STEEL"/>
    <hyperlink ref="B129" location="OP ZONE" display="OP ZONE"/>
    <hyperlink ref="A147" location="OP GROUP PILEDRIVER" display="OP GROUP PILEDRIVER"/>
    <hyperlink ref="B181" location="PLAS ZONE" display="PLAS ZONE"/>
    <hyperlink ref="B222" location="laborer zone" display="laborer zone"/>
    <hyperlink ref="B225" location="truckzone" display="truckzone"/>
    <hyperlink ref="B280" location="OP ZONE" display="OP ZONE"/>
    <hyperlink ref="C4" location="SHEET" display="SHEET"/>
    <hyperlink ref="C20" location="Carp" display="Carp"/>
    <hyperlink ref="C53" location="laborer zone" display="laborer zone"/>
    <hyperlink ref="C79" location="laborer zone" display="laborer zone"/>
    <hyperlink ref="C108" location="OP ZONE" display="OP ZONE"/>
    <hyperlink ref="C129" location="OP ZONE" display="OP ZONE"/>
    <hyperlink ref="C196" location="SHEET" display="SHEET"/>
    <hyperlink ref="B210" location="TILE 09" display="TILE 09"/>
    <hyperlink ref="B213" location="TILE 09" display="TILE 09"/>
    <hyperlink ref="C222" location="laborer zone" display="laborer zone"/>
    <hyperlink ref="C225" location="truckzone" display="truckzone"/>
    <hyperlink ref="C280" location="OP ZONE" display="OP ZONE"/>
    <hyperlink ref="C63" location="laborer zone" display="laborer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1"/>
  <sheetViews>
    <sheetView workbookViewId="0">
      <selection activeCell="M1" sqref="M1:M1048576"/>
    </sheetView>
  </sheetViews>
  <sheetFormatPr defaultRowHeight="12.75"/>
  <cols>
    <col min="1" max="1" width="35.7109375" customWidth="1"/>
    <col min="2" max="2" width="9" style="9" customWidth="1"/>
    <col min="3" max="3" width="9.140625" style="9" customWidth="1"/>
    <col min="4" max="4" width="11.28515625" customWidth="1"/>
    <col min="6" max="6" width="21.28515625" customWidth="1"/>
    <col min="7" max="7" width="10.5703125" customWidth="1"/>
    <col min="8" max="8" width="10.140625" customWidth="1"/>
    <col min="9" max="9" width="10.5703125" customWidth="1"/>
    <col min="10" max="10" width="8.140625" customWidth="1"/>
    <col min="11" max="11" width="15.85546875" customWidth="1"/>
    <col min="12" max="12" width="12.140625" customWidth="1"/>
  </cols>
  <sheetData>
    <row r="1" spans="1:12" ht="38.25">
      <c r="A1" s="48" t="s">
        <v>4004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9"/>
      <c r="C2" s="19"/>
      <c r="D2" s="38">
        <f>AVERAGE(D4:D265)</f>
        <v>6.6059561526123106E-2</v>
      </c>
      <c r="F2" s="38">
        <f>AVERAGE(F4:F265)</f>
        <v>4.7576321775982991E-2</v>
      </c>
      <c r="H2" s="38">
        <f>AVERAGE(H4:H265)</f>
        <v>5.697817104950989E-2</v>
      </c>
      <c r="I2" s="38">
        <f>AVERAGE(I4:I265)</f>
        <v>0</v>
      </c>
    </row>
    <row r="4" spans="1:12" ht="12.75" customHeight="1">
      <c r="A4" s="2" t="s">
        <v>3500</v>
      </c>
      <c r="B4" s="12" t="s">
        <v>3501</v>
      </c>
      <c r="C4" s="44" t="s">
        <v>3981</v>
      </c>
      <c r="D4" s="8"/>
      <c r="E4" s="44"/>
      <c r="F4" s="43"/>
      <c r="G4" s="23" t="s">
        <v>3983</v>
      </c>
      <c r="H4" s="43">
        <f>AVERAGE(F5:F7)</f>
        <v>0.10617326647068999</v>
      </c>
      <c r="I4" s="43"/>
      <c r="J4" s="8"/>
      <c r="K4" s="8"/>
      <c r="L4" s="43"/>
    </row>
    <row r="5" spans="1:12" ht="12.75" customHeight="1">
      <c r="A5" s="1" t="s">
        <v>3750</v>
      </c>
      <c r="B5" s="7">
        <v>58.52</v>
      </c>
      <c r="C5" s="7">
        <v>59.52</v>
      </c>
      <c r="D5" s="16">
        <f>(C5-B5)/B5</f>
        <v>1.7088174982911822E-2</v>
      </c>
      <c r="E5" s="9">
        <v>57.83</v>
      </c>
      <c r="F5" s="16">
        <f>(C5-E5)/E5</f>
        <v>2.9223586373854485E-2</v>
      </c>
      <c r="G5" s="40"/>
      <c r="H5" s="16"/>
      <c r="I5" s="16"/>
      <c r="L5" s="16"/>
    </row>
    <row r="6" spans="1:12" ht="12.75" customHeight="1">
      <c r="A6" s="1" t="s">
        <v>3751</v>
      </c>
      <c r="B6" s="7">
        <v>62.95</v>
      </c>
      <c r="C6" s="7">
        <v>63.97</v>
      </c>
      <c r="D6" s="16">
        <f>(C6-B6)/B6</f>
        <v>1.6203335980937188E-2</v>
      </c>
      <c r="E6" s="9">
        <v>57.83</v>
      </c>
      <c r="F6" s="16">
        <f>(C6-E6)/E6</f>
        <v>0.10617326647068996</v>
      </c>
      <c r="G6" s="40"/>
      <c r="H6" s="16"/>
      <c r="I6" s="16"/>
      <c r="L6" s="16"/>
    </row>
    <row r="7" spans="1:12" ht="12.75" customHeight="1">
      <c r="A7" s="1" t="s">
        <v>3752</v>
      </c>
      <c r="B7" s="7">
        <v>67.37</v>
      </c>
      <c r="C7" s="7">
        <v>68.42</v>
      </c>
      <c r="D7" s="16">
        <f>(C7-B7)/B7</f>
        <v>1.5585572213151211E-2</v>
      </c>
      <c r="E7" s="9">
        <v>57.83</v>
      </c>
      <c r="F7" s="16">
        <f>(C7-E7)/E7</f>
        <v>0.18312294656752556</v>
      </c>
      <c r="G7" s="40"/>
      <c r="H7" s="16"/>
      <c r="I7" s="16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L8" s="16"/>
    </row>
    <row r="9" spans="1:12">
      <c r="A9" s="2" t="s">
        <v>3505</v>
      </c>
      <c r="B9" s="7"/>
      <c r="C9" s="44" t="s">
        <v>3981</v>
      </c>
      <c r="D9" s="43"/>
      <c r="E9" s="44"/>
      <c r="F9" s="43"/>
      <c r="G9" s="23" t="s">
        <v>3983</v>
      </c>
      <c r="H9" s="43">
        <f>AVERAGE(F10)</f>
        <v>0.12756952841596142</v>
      </c>
      <c r="I9" s="43"/>
      <c r="J9" s="8"/>
      <c r="K9" s="8"/>
      <c r="L9" s="43"/>
    </row>
    <row r="10" spans="1:12" ht="12.75" customHeight="1">
      <c r="A10" s="1" t="s">
        <v>3753</v>
      </c>
      <c r="B10" s="7">
        <v>54.38</v>
      </c>
      <c r="C10" s="7">
        <v>55.95</v>
      </c>
      <c r="D10" s="16">
        <f>(C10-B10)/B10</f>
        <v>2.8870908422214053E-2</v>
      </c>
      <c r="E10" s="9">
        <v>49.62</v>
      </c>
      <c r="F10" s="16">
        <f>(C10-E10)/E10</f>
        <v>0.12756952841596142</v>
      </c>
      <c r="G10" s="40"/>
      <c r="H10" s="16"/>
      <c r="I10" s="16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L11" s="16"/>
    </row>
    <row r="12" spans="1:12">
      <c r="A12" s="2" t="s">
        <v>3507</v>
      </c>
      <c r="B12" s="7"/>
      <c r="C12" s="44" t="s">
        <v>3981</v>
      </c>
      <c r="D12" s="43"/>
      <c r="E12" s="44"/>
      <c r="F12" s="43"/>
      <c r="G12" s="23" t="s">
        <v>3983</v>
      </c>
      <c r="H12" s="43">
        <f>AVERAGE(F13)</f>
        <v>1.8693032596941044E-2</v>
      </c>
      <c r="I12" s="43"/>
      <c r="J12" s="8"/>
      <c r="K12" s="8"/>
      <c r="L12" s="43"/>
    </row>
    <row r="13" spans="1:12" ht="12.75" customHeight="1">
      <c r="A13" s="1" t="s">
        <v>3508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L13" s="16"/>
    </row>
    <row r="14" spans="1:12">
      <c r="A14" s="1"/>
      <c r="B14" s="7"/>
      <c r="C14" s="7"/>
      <c r="D14" s="16"/>
      <c r="E14" s="9"/>
      <c r="F14" s="16"/>
      <c r="G14" s="40"/>
      <c r="H14" s="16"/>
      <c r="I14" s="16"/>
      <c r="L14" s="16"/>
    </row>
    <row r="15" spans="1:12" ht="38.25">
      <c r="A15" s="2" t="s">
        <v>3509</v>
      </c>
      <c r="B15" s="12" t="s">
        <v>3754</v>
      </c>
      <c r="C15" s="44" t="s">
        <v>3981</v>
      </c>
      <c r="D15" s="43"/>
      <c r="E15" s="44"/>
      <c r="F15" s="43"/>
      <c r="G15" s="23" t="s">
        <v>3983</v>
      </c>
      <c r="H15" s="43">
        <f>AVERAGE(F16)</f>
        <v>-7.7764026402640185E-2</v>
      </c>
      <c r="I15" s="43"/>
      <c r="J15" s="8"/>
      <c r="K15" s="8"/>
      <c r="L15" s="43"/>
    </row>
    <row r="16" spans="1:12" ht="12.75" customHeight="1">
      <c r="A16" s="1" t="s">
        <v>3511</v>
      </c>
      <c r="B16" s="7">
        <v>32.68</v>
      </c>
      <c r="C16" s="7">
        <v>44.71</v>
      </c>
      <c r="D16" s="16">
        <f>(C16-B16)/B16</f>
        <v>0.36811505507955938</v>
      </c>
      <c r="E16" s="9">
        <v>48.48</v>
      </c>
      <c r="F16" s="16">
        <f>(C16-E16)/E16</f>
        <v>-7.7764026402640185E-2</v>
      </c>
      <c r="G16" s="40"/>
      <c r="H16" s="16"/>
      <c r="I16" s="16"/>
      <c r="L16" s="16"/>
    </row>
    <row r="17" spans="1:12">
      <c r="A17" s="1"/>
      <c r="B17" s="7"/>
      <c r="C17" s="7"/>
      <c r="D17" s="16"/>
      <c r="E17" s="9"/>
      <c r="F17" s="16"/>
      <c r="G17" s="40"/>
      <c r="H17" s="16"/>
      <c r="I17" s="16"/>
      <c r="L17" s="16"/>
    </row>
    <row r="18" spans="1:12" ht="25.5">
      <c r="A18" s="2" t="s">
        <v>3514</v>
      </c>
      <c r="B18" s="7"/>
      <c r="C18" s="31" t="s">
        <v>3996</v>
      </c>
      <c r="D18" s="43"/>
      <c r="E18" s="44"/>
      <c r="F18" s="43"/>
      <c r="G18" s="23" t="s">
        <v>3983</v>
      </c>
      <c r="H18" s="43">
        <f>AVERAGE(F19)</f>
        <v>1.3054830287206267E-2</v>
      </c>
      <c r="I18" s="43"/>
      <c r="J18" s="8"/>
      <c r="K18" s="8"/>
      <c r="L18" s="43"/>
    </row>
    <row r="19" spans="1:12" ht="12.75" customHeight="1">
      <c r="A19" s="1" t="s">
        <v>3921</v>
      </c>
      <c r="B19" s="7">
        <v>38.299999999999997</v>
      </c>
      <c r="C19" s="7">
        <v>38.799999999999997</v>
      </c>
      <c r="D19" s="16">
        <f>(C19-B19)/B19</f>
        <v>1.3054830287206267E-2</v>
      </c>
      <c r="E19" s="9">
        <v>38.299999999999997</v>
      </c>
      <c r="F19" s="16">
        <f>(C19-E19)/E19</f>
        <v>1.3054830287206267E-2</v>
      </c>
      <c r="G19" s="40"/>
      <c r="H19" s="16"/>
      <c r="I19" s="16"/>
      <c r="L19" s="16"/>
    </row>
    <row r="20" spans="1:12">
      <c r="A20" s="1"/>
      <c r="B20" s="7"/>
      <c r="C20" s="7"/>
      <c r="D20" s="16"/>
      <c r="E20" s="9"/>
      <c r="F20" s="16"/>
      <c r="G20" s="40"/>
      <c r="H20" s="16"/>
      <c r="I20" s="16"/>
      <c r="L20" s="16"/>
    </row>
    <row r="21" spans="1:12" ht="38.25">
      <c r="A21" s="2" t="s">
        <v>3517</v>
      </c>
      <c r="B21" s="12" t="s">
        <v>3977</v>
      </c>
      <c r="C21" s="44" t="s">
        <v>3981</v>
      </c>
      <c r="D21" s="43"/>
      <c r="E21" s="44"/>
      <c r="F21" s="43"/>
      <c r="G21" s="23" t="s">
        <v>3983</v>
      </c>
      <c r="H21" s="43">
        <f>AVERAGE(F22:F24)</f>
        <v>7.8225205070842616E-2</v>
      </c>
      <c r="I21" s="43"/>
      <c r="J21" s="8"/>
      <c r="K21" s="8"/>
      <c r="L21" s="43"/>
    </row>
    <row r="22" spans="1:12" ht="12.75" customHeight="1">
      <c r="A22" s="1" t="s">
        <v>3521</v>
      </c>
      <c r="B22" s="7">
        <v>34.4</v>
      </c>
      <c r="C22" s="7">
        <v>46.28</v>
      </c>
      <c r="D22" s="16">
        <f>(C22-B22)/B22</f>
        <v>0.34534883720930243</v>
      </c>
      <c r="E22" s="9">
        <v>44.7</v>
      </c>
      <c r="F22" s="16">
        <f>(C22-E22)/E22</f>
        <v>3.5346756152125236E-2</v>
      </c>
      <c r="G22" s="40"/>
      <c r="H22" s="16"/>
      <c r="I22" s="16"/>
      <c r="L22" s="16"/>
    </row>
    <row r="23" spans="1:12" ht="12.75" customHeight="1">
      <c r="A23" s="1" t="s">
        <v>3522</v>
      </c>
      <c r="B23" s="7">
        <v>36.4</v>
      </c>
      <c r="C23" s="7">
        <v>48.28</v>
      </c>
      <c r="D23" s="16">
        <f>(C23-B23)/B23</f>
        <v>0.32637362637362644</v>
      </c>
      <c r="E23" s="9">
        <v>44.7</v>
      </c>
      <c r="F23" s="16">
        <f>(C23-E23)/E23</f>
        <v>8.0089485458612927E-2</v>
      </c>
      <c r="G23" s="40"/>
      <c r="H23" s="16"/>
      <c r="I23" s="16"/>
      <c r="L23" s="16"/>
    </row>
    <row r="24" spans="1:12" ht="12.75" customHeight="1">
      <c r="A24" s="1" t="s">
        <v>3757</v>
      </c>
      <c r="B24" s="7">
        <v>36.4</v>
      </c>
      <c r="C24" s="7">
        <v>50.03</v>
      </c>
      <c r="D24" s="16">
        <f>(C24-B24)/B24</f>
        <v>0.37445054945054951</v>
      </c>
      <c r="E24" s="9">
        <v>44.7</v>
      </c>
      <c r="F24" s="16">
        <f>(C24-E24)/E24</f>
        <v>0.11923937360178967</v>
      </c>
      <c r="G24" s="40"/>
      <c r="H24" s="16"/>
      <c r="I24" s="16"/>
      <c r="L24" s="16"/>
    </row>
    <row r="25" spans="1:12">
      <c r="A25" s="1"/>
      <c r="B25" s="7"/>
      <c r="C25" s="7"/>
      <c r="D25" s="16"/>
      <c r="E25" s="9"/>
      <c r="F25" s="16"/>
      <c r="G25" s="40"/>
      <c r="H25" s="16"/>
      <c r="I25" s="16"/>
      <c r="L25" s="16"/>
    </row>
    <row r="26" spans="1:12" ht="12.75" customHeight="1">
      <c r="A26" s="2" t="s">
        <v>3758</v>
      </c>
      <c r="B26" s="12" t="s">
        <v>3510</v>
      </c>
      <c r="C26" s="31" t="s">
        <v>3996</v>
      </c>
      <c r="D26" s="43"/>
      <c r="E26" s="44"/>
      <c r="F26" s="43"/>
      <c r="G26" s="23" t="s">
        <v>3984</v>
      </c>
      <c r="H26" s="43"/>
      <c r="I26" s="43">
        <f>AVERAGE(F27:F30)</f>
        <v>0</v>
      </c>
      <c r="J26" s="8"/>
      <c r="K26" s="8"/>
      <c r="L26" s="43"/>
    </row>
    <row r="27" spans="1:12" ht="12.75" customHeight="1">
      <c r="A27" s="1" t="s">
        <v>3759</v>
      </c>
      <c r="B27" s="7">
        <v>38.72</v>
      </c>
      <c r="C27" s="7">
        <v>17.489999999999998</v>
      </c>
      <c r="D27" s="16">
        <f>(C27-B27)/B27</f>
        <v>-0.54829545454545459</v>
      </c>
      <c r="E27" s="9">
        <v>17.489999999999998</v>
      </c>
      <c r="F27" s="16">
        <f>(C27-E27)/E27</f>
        <v>0</v>
      </c>
      <c r="G27" s="40"/>
      <c r="H27" s="16"/>
      <c r="I27" s="16"/>
      <c r="L27" s="16"/>
    </row>
    <row r="28" spans="1:12" ht="12.75" customHeight="1">
      <c r="A28" s="1" t="s">
        <v>3760</v>
      </c>
      <c r="B28" s="7">
        <v>54.38</v>
      </c>
      <c r="C28" s="7">
        <v>17.489999999999998</v>
      </c>
      <c r="D28" s="16">
        <f>(C28-B28)/B28</f>
        <v>-0.67837440235380653</v>
      </c>
      <c r="E28" s="9">
        <v>17.489999999999998</v>
      </c>
      <c r="F28" s="16">
        <f>(C28-E28)/E28</f>
        <v>0</v>
      </c>
      <c r="G28" s="40"/>
      <c r="H28" s="16"/>
      <c r="I28" s="16"/>
      <c r="L28" s="16"/>
    </row>
    <row r="29" spans="1:12" ht="12.75" customHeight="1">
      <c r="A29" s="1" t="s">
        <v>3761</v>
      </c>
      <c r="B29" s="7">
        <v>58.78</v>
      </c>
      <c r="C29" s="7">
        <v>17.489999999999998</v>
      </c>
      <c r="D29" s="16">
        <f>(C29-B29)/B29</f>
        <v>-0.70244981286151764</v>
      </c>
      <c r="E29" s="9">
        <v>17.489999999999998</v>
      </c>
      <c r="F29" s="16">
        <f>(C29-E29)/E29</f>
        <v>0</v>
      </c>
      <c r="G29" s="40"/>
      <c r="H29" s="16"/>
      <c r="I29" s="16"/>
      <c r="L29" s="16"/>
    </row>
    <row r="30" spans="1:12" ht="12.75" customHeight="1">
      <c r="A30" s="1" t="s">
        <v>3762</v>
      </c>
      <c r="B30" s="7">
        <v>63.18</v>
      </c>
      <c r="C30" s="7">
        <v>17.489999999999998</v>
      </c>
      <c r="D30" s="16">
        <f>(C30-B30)/B30</f>
        <v>-0.72317188983855651</v>
      </c>
      <c r="E30" s="9">
        <v>17.489999999999998</v>
      </c>
      <c r="F30" s="16">
        <f>(C30-E30)/E30</f>
        <v>0</v>
      </c>
      <c r="G30" s="40"/>
      <c r="H30" s="16"/>
      <c r="I30" s="16"/>
      <c r="L30" s="16"/>
    </row>
    <row r="31" spans="1:12">
      <c r="A31" s="1"/>
      <c r="B31" s="7"/>
      <c r="C31" s="7"/>
      <c r="D31" s="16"/>
      <c r="E31" s="9"/>
      <c r="F31" s="16"/>
      <c r="G31" s="40"/>
      <c r="H31" s="16"/>
      <c r="I31" s="16"/>
      <c r="L31" s="16"/>
    </row>
    <row r="32" spans="1:12" ht="12.75" customHeight="1">
      <c r="A32" s="144" t="s">
        <v>3763</v>
      </c>
      <c r="B32" s="7"/>
      <c r="C32" s="7"/>
      <c r="D32" s="16"/>
      <c r="E32" s="9"/>
      <c r="F32" s="16"/>
      <c r="G32" s="40"/>
      <c r="H32" s="16"/>
      <c r="I32" s="16"/>
      <c r="L32" s="16"/>
    </row>
    <row r="33" spans="1:12">
      <c r="A33" s="144"/>
      <c r="B33" s="7"/>
      <c r="C33" s="44" t="s">
        <v>3981</v>
      </c>
      <c r="D33" s="43"/>
      <c r="E33" s="44"/>
      <c r="F33" s="43"/>
      <c r="G33" s="23" t="s">
        <v>3983</v>
      </c>
      <c r="H33" s="43">
        <f>AVERAGE(F34:F38)</f>
        <v>0.17586490939044477</v>
      </c>
      <c r="I33" s="43"/>
      <c r="J33" s="8"/>
      <c r="K33" s="8"/>
      <c r="L33" s="43"/>
    </row>
    <row r="34" spans="1:12" ht="12.75" customHeight="1">
      <c r="A34" s="1" t="s">
        <v>3764</v>
      </c>
      <c r="B34" s="7">
        <v>34.82</v>
      </c>
      <c r="C34" s="7">
        <v>40.5</v>
      </c>
      <c r="D34" s="16">
        <f>(C34-B34)/B34</f>
        <v>0.16312464101091326</v>
      </c>
      <c r="E34" s="9">
        <v>48.56</v>
      </c>
      <c r="F34" s="16">
        <f>(C34-E34)/E34</f>
        <v>-0.16598023064250417</v>
      </c>
      <c r="G34" s="40"/>
      <c r="H34" s="16"/>
      <c r="I34" s="16"/>
      <c r="L34" s="16"/>
    </row>
    <row r="35" spans="1:12" ht="12.75" customHeight="1">
      <c r="A35" s="1" t="s">
        <v>3765</v>
      </c>
      <c r="B35" s="7">
        <v>51.95</v>
      </c>
      <c r="C35" s="7">
        <v>59.9</v>
      </c>
      <c r="D35" s="16">
        <f>(C35-B35)/B35</f>
        <v>0.15303176130895083</v>
      </c>
      <c r="E35" s="9">
        <v>48.56</v>
      </c>
      <c r="F35" s="16">
        <f>(C35-E35)/E35</f>
        <v>0.23352553542009877</v>
      </c>
      <c r="G35" s="40"/>
      <c r="H35" s="16"/>
      <c r="I35" s="16"/>
      <c r="L35" s="16"/>
    </row>
    <row r="36" spans="1:12" ht="12.75" customHeight="1">
      <c r="A36" s="1" t="s">
        <v>3601</v>
      </c>
      <c r="B36" s="7">
        <v>56.89</v>
      </c>
      <c r="C36" s="7">
        <v>65.16</v>
      </c>
      <c r="D36" s="16">
        <f>(C36-B36)/B36</f>
        <v>0.14536825452627872</v>
      </c>
      <c r="E36" s="9">
        <v>48.56</v>
      </c>
      <c r="F36" s="16">
        <f>(C36-E36)/E36</f>
        <v>0.3418451400329488</v>
      </c>
      <c r="G36" s="40"/>
      <c r="H36" s="16"/>
      <c r="I36" s="16"/>
      <c r="L36" s="16"/>
    </row>
    <row r="37" spans="1:12" ht="12.75" customHeight="1">
      <c r="A37" s="1" t="s">
        <v>3766</v>
      </c>
      <c r="B37" s="7">
        <v>61.9</v>
      </c>
      <c r="C37" s="7">
        <v>70.45</v>
      </c>
      <c r="D37" s="16">
        <f>(C37-B37)/B37</f>
        <v>0.13812600969305339</v>
      </c>
      <c r="E37" s="9">
        <v>48.56</v>
      </c>
      <c r="F37" s="16">
        <f>(C37-E37)/E37</f>
        <v>0.45078253706754529</v>
      </c>
      <c r="G37" s="40"/>
      <c r="H37" s="16"/>
      <c r="I37" s="16"/>
      <c r="L37" s="16"/>
    </row>
    <row r="38" spans="1:12" ht="12.75" customHeight="1">
      <c r="A38" s="1" t="s">
        <v>3532</v>
      </c>
      <c r="B38" s="7">
        <v>42.69</v>
      </c>
      <c r="C38" s="7">
        <v>49.49</v>
      </c>
      <c r="D38" s="16">
        <f>(C38-B38)/B38</f>
        <v>0.1592878894354651</v>
      </c>
      <c r="E38" s="9">
        <v>48.56</v>
      </c>
      <c r="F38" s="16">
        <f>(C38-E38)/E38</f>
        <v>1.9151565074135082E-2</v>
      </c>
      <c r="G38" s="40"/>
      <c r="H38" s="16"/>
      <c r="I38" s="16"/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L39" s="16"/>
    </row>
    <row r="40" spans="1:12">
      <c r="A40" s="2" t="s">
        <v>3533</v>
      </c>
      <c r="B40" s="7"/>
      <c r="C40" s="44" t="s">
        <v>3981</v>
      </c>
      <c r="D40" s="43"/>
      <c r="E40" s="44"/>
      <c r="F40" s="43"/>
      <c r="G40" s="23" t="s">
        <v>3983</v>
      </c>
      <c r="H40" s="43">
        <f>AVERAGE(F41)</f>
        <v>5.7445868316395301E-3</v>
      </c>
      <c r="I40" s="43"/>
      <c r="J40" s="8"/>
      <c r="K40" s="8"/>
      <c r="L40" s="43"/>
    </row>
    <row r="41" spans="1:12" ht="12.75" customHeight="1">
      <c r="A41" s="1" t="s">
        <v>3535</v>
      </c>
      <c r="B41" s="7">
        <v>44.31</v>
      </c>
      <c r="C41" s="7">
        <v>45.52</v>
      </c>
      <c r="D41" s="16">
        <f>(C41-B41)/B41</f>
        <v>2.7307605506657655E-2</v>
      </c>
      <c r="E41" s="9">
        <v>45.26</v>
      </c>
      <c r="F41" s="16">
        <f>(C41-E41)/E41</f>
        <v>5.7445868316395301E-3</v>
      </c>
      <c r="G41" s="40"/>
      <c r="H41" s="16"/>
      <c r="I41" s="16"/>
      <c r="L41" s="16"/>
    </row>
    <row r="42" spans="1:12">
      <c r="A42" s="1"/>
      <c r="B42" s="7"/>
      <c r="C42" s="7"/>
      <c r="D42" s="16"/>
      <c r="E42" s="9"/>
      <c r="F42" s="16"/>
      <c r="G42" s="40"/>
      <c r="H42" s="16"/>
      <c r="I42" s="16"/>
      <c r="L42" s="16"/>
    </row>
    <row r="43" spans="1:12" ht="12.75" customHeight="1">
      <c r="A43" s="2" t="s">
        <v>3536</v>
      </c>
      <c r="B43" s="12" t="s">
        <v>3510</v>
      </c>
      <c r="C43" s="44" t="s">
        <v>3981</v>
      </c>
      <c r="D43" s="43"/>
      <c r="E43" s="44"/>
      <c r="F43" s="43"/>
      <c r="G43" s="23" t="s">
        <v>3983</v>
      </c>
      <c r="H43" s="43">
        <f>AVERAGE(F44)</f>
        <v>0</v>
      </c>
      <c r="I43" s="43"/>
      <c r="J43" s="8"/>
      <c r="K43" s="8"/>
      <c r="L43" s="43"/>
    </row>
    <row r="44" spans="1:12" ht="12.75" customHeight="1">
      <c r="A44" s="1" t="s">
        <v>3939</v>
      </c>
      <c r="B44" s="7">
        <v>54.74</v>
      </c>
      <c r="C44" s="7">
        <v>57.09</v>
      </c>
      <c r="D44" s="16">
        <f>(C44-B44)/B44</f>
        <v>4.2930215564486687E-2</v>
      </c>
      <c r="E44" s="9">
        <v>57.09</v>
      </c>
      <c r="F44" s="16">
        <f>(C44-E44)/E44</f>
        <v>0</v>
      </c>
      <c r="G44" s="40"/>
      <c r="H44" s="16"/>
      <c r="I44" s="16"/>
      <c r="L44" s="16"/>
    </row>
    <row r="45" spans="1:12">
      <c r="A45" s="1"/>
      <c r="B45" s="7"/>
      <c r="C45" s="7"/>
      <c r="D45" s="16"/>
      <c r="E45" s="9"/>
      <c r="F45" s="16"/>
      <c r="G45" s="40"/>
      <c r="H45" s="16"/>
      <c r="I45" s="16"/>
      <c r="L45" s="16"/>
    </row>
    <row r="46" spans="1:12" ht="12.75" customHeight="1">
      <c r="A46" s="2" t="s">
        <v>3541</v>
      </c>
      <c r="B46" s="11" t="s">
        <v>3534</v>
      </c>
      <c r="C46" s="44" t="s">
        <v>3981</v>
      </c>
      <c r="D46" s="43"/>
      <c r="E46" s="44"/>
      <c r="F46" s="43"/>
      <c r="G46" s="23" t="s">
        <v>3983</v>
      </c>
      <c r="H46" s="43">
        <f>AVERAGE(F47:F48)</f>
        <v>1.8613413715147048E-2</v>
      </c>
      <c r="I46" s="43"/>
      <c r="J46" s="8"/>
      <c r="K46" s="8"/>
      <c r="L46" s="43"/>
    </row>
    <row r="47" spans="1:12" ht="12.75" customHeight="1">
      <c r="A47" s="1" t="s">
        <v>3542</v>
      </c>
      <c r="B47" s="7">
        <v>46.01</v>
      </c>
      <c r="C47" s="7">
        <v>64.58</v>
      </c>
      <c r="D47" s="16">
        <f>(C47-B47)/B47</f>
        <v>0.40360791132362533</v>
      </c>
      <c r="E47" s="9">
        <v>66.349999999999994</v>
      </c>
      <c r="F47" s="16">
        <f>(C47-E47)/E47</f>
        <v>-2.6676714393368443E-2</v>
      </c>
      <c r="G47" s="40"/>
      <c r="H47" s="16"/>
      <c r="I47" s="16"/>
      <c r="L47" s="16"/>
    </row>
    <row r="48" spans="1:12" ht="12.75" customHeight="1">
      <c r="A48" s="1" t="s">
        <v>3769</v>
      </c>
      <c r="B48" s="7">
        <v>46.01</v>
      </c>
      <c r="C48" s="7">
        <v>70.59</v>
      </c>
      <c r="D48" s="16">
        <f>(C48-B48)/B48</f>
        <v>0.53423168876331251</v>
      </c>
      <c r="E48" s="9">
        <v>66.349999999999994</v>
      </c>
      <c r="F48" s="16">
        <f>(C48-E48)/E48</f>
        <v>6.3903541823662535E-2</v>
      </c>
      <c r="G48" s="40"/>
      <c r="H48" s="16"/>
      <c r="I48" s="16"/>
      <c r="L48" s="16"/>
    </row>
    <row r="49" spans="1:12">
      <c r="A49" s="1"/>
      <c r="B49" s="7"/>
      <c r="C49" s="7"/>
      <c r="D49" s="16"/>
      <c r="E49" s="9"/>
      <c r="F49" s="16"/>
      <c r="G49" s="40"/>
      <c r="H49" s="16"/>
      <c r="I49" s="16"/>
      <c r="L49" s="16"/>
    </row>
    <row r="50" spans="1:12" ht="12.75" customHeight="1">
      <c r="A50" s="2" t="s">
        <v>3544</v>
      </c>
      <c r="B50" s="11" t="s">
        <v>3534</v>
      </c>
      <c r="C50" s="44" t="s">
        <v>3981</v>
      </c>
      <c r="D50" s="43"/>
      <c r="E50" s="44"/>
      <c r="F50" s="43"/>
      <c r="G50" s="23" t="s">
        <v>3984</v>
      </c>
      <c r="H50" s="43"/>
      <c r="I50" s="43">
        <f>AVERAGE(F51)</f>
        <v>0</v>
      </c>
      <c r="J50" s="8"/>
      <c r="K50" s="8"/>
      <c r="L50" s="43"/>
    </row>
    <row r="51" spans="1:12" ht="12.75" customHeight="1">
      <c r="A51" s="1" t="s">
        <v>3545</v>
      </c>
      <c r="B51" s="7">
        <v>16.97</v>
      </c>
      <c r="C51" s="7">
        <v>17.46</v>
      </c>
      <c r="D51" s="16">
        <f>(C51-B51)/B51</f>
        <v>2.8874484384207543E-2</v>
      </c>
      <c r="E51" s="9">
        <v>17.46</v>
      </c>
      <c r="F51" s="16">
        <f>(C51-E51)/E51</f>
        <v>0</v>
      </c>
      <c r="G51" s="40"/>
      <c r="H51" s="16"/>
      <c r="I51" s="16"/>
      <c r="L51" s="16"/>
    </row>
    <row r="52" spans="1:12">
      <c r="A52" s="1"/>
      <c r="B52" s="7"/>
      <c r="C52" s="7"/>
      <c r="D52" s="16"/>
      <c r="E52" s="9"/>
      <c r="F52" s="16"/>
      <c r="G52" s="40"/>
      <c r="H52" s="16"/>
      <c r="I52" s="16"/>
      <c r="L52" s="16"/>
    </row>
    <row r="53" spans="1:12" ht="12.75" customHeight="1">
      <c r="A53" s="2" t="s">
        <v>3546</v>
      </c>
      <c r="B53" s="12" t="s">
        <v>3547</v>
      </c>
      <c r="C53" s="44" t="s">
        <v>3485</v>
      </c>
      <c r="D53" s="43"/>
      <c r="E53" s="44"/>
      <c r="F53" s="43"/>
      <c r="G53" s="23"/>
      <c r="H53" s="43"/>
      <c r="I53" s="43"/>
      <c r="J53" s="8"/>
      <c r="K53" s="8"/>
      <c r="L53" s="43"/>
    </row>
    <row r="54" spans="1:12" ht="12.75" customHeight="1">
      <c r="A54" s="1" t="s">
        <v>3548</v>
      </c>
      <c r="B54" s="7">
        <v>41.44</v>
      </c>
      <c r="C54" s="7">
        <v>41.44</v>
      </c>
      <c r="D54" s="16">
        <f>(C54-B54)/B54</f>
        <v>0</v>
      </c>
      <c r="E54" s="9"/>
      <c r="F54" s="16"/>
      <c r="G54" s="40"/>
      <c r="H54" s="16"/>
      <c r="I54" s="16"/>
      <c r="L54" s="16"/>
    </row>
    <row r="55" spans="1:12">
      <c r="A55" s="1"/>
      <c r="B55" s="7"/>
      <c r="C55" s="7"/>
      <c r="D55" s="16"/>
      <c r="E55" s="9"/>
      <c r="F55" s="16"/>
      <c r="G55" s="40"/>
      <c r="H55" s="16"/>
      <c r="I55" s="16"/>
      <c r="L55" s="16"/>
    </row>
    <row r="56" spans="1:12">
      <c r="A56" s="2" t="s">
        <v>3549</v>
      </c>
      <c r="B56" s="7"/>
      <c r="C56" s="44" t="s">
        <v>3981</v>
      </c>
      <c r="D56" s="43"/>
      <c r="E56" s="44"/>
      <c r="F56" s="43"/>
      <c r="G56" s="23" t="s">
        <v>3983</v>
      </c>
      <c r="H56" s="43">
        <f>AVERAGE(F57:F58)</f>
        <v>4.0111291444470135E-2</v>
      </c>
      <c r="I56" s="43"/>
      <c r="J56" s="8"/>
      <c r="K56" s="8"/>
      <c r="L56" s="43"/>
    </row>
    <row r="57" spans="1:12" ht="12.75" customHeight="1">
      <c r="A57" s="1" t="s">
        <v>3550</v>
      </c>
      <c r="B57" s="7">
        <v>41.83</v>
      </c>
      <c r="C57" s="7">
        <v>42.4</v>
      </c>
      <c r="D57" s="16">
        <f>(C57-B57)/B57</f>
        <v>1.3626583791537182E-2</v>
      </c>
      <c r="E57" s="9">
        <v>43.13</v>
      </c>
      <c r="F57" s="16">
        <f>(C57-E57)/E57</f>
        <v>-1.6925573846510642E-2</v>
      </c>
      <c r="G57" s="40"/>
      <c r="H57" s="16"/>
      <c r="I57" s="16"/>
      <c r="L57" s="16"/>
    </row>
    <row r="58" spans="1:12" ht="12.75" customHeight="1">
      <c r="A58" s="1" t="s">
        <v>3551</v>
      </c>
      <c r="B58" s="7">
        <v>46.76</v>
      </c>
      <c r="C58" s="7">
        <v>47.32</v>
      </c>
      <c r="D58" s="16">
        <f>(C58-B58)/B58</f>
        <v>1.1976047904191666E-2</v>
      </c>
      <c r="E58" s="9">
        <v>43.13</v>
      </c>
      <c r="F58" s="16">
        <f>(C58-E58)/E58</f>
        <v>9.7148156735450908E-2</v>
      </c>
      <c r="G58" s="40"/>
      <c r="H58" s="16"/>
      <c r="I58" s="16"/>
      <c r="L58" s="16"/>
    </row>
    <row r="59" spans="1:12">
      <c r="A59" s="1"/>
      <c r="B59" s="7"/>
      <c r="C59" s="7"/>
      <c r="D59" s="16"/>
      <c r="E59" s="9"/>
      <c r="F59" s="16"/>
      <c r="G59" s="40"/>
      <c r="H59" s="16"/>
      <c r="I59" s="16"/>
      <c r="L59" s="16"/>
    </row>
    <row r="60" spans="1:12" ht="12.75" customHeight="1">
      <c r="A60" s="2" t="s">
        <v>3552</v>
      </c>
      <c r="B60" s="11" t="s">
        <v>3534</v>
      </c>
      <c r="C60" s="44" t="s">
        <v>3981</v>
      </c>
      <c r="D60" s="43"/>
      <c r="E60" s="44"/>
      <c r="F60" s="43"/>
      <c r="G60" s="23" t="s">
        <v>3983</v>
      </c>
      <c r="H60" s="43">
        <f>AVERAGE(F61:F62)</f>
        <v>0.17912957467853619</v>
      </c>
      <c r="I60" s="43"/>
      <c r="J60" s="8"/>
      <c r="K60" s="8"/>
      <c r="L60" s="43"/>
    </row>
    <row r="61" spans="1:12" ht="12.75" customHeight="1">
      <c r="A61" s="1" t="s">
        <v>3553</v>
      </c>
      <c r="B61" s="7">
        <v>54.72</v>
      </c>
      <c r="C61" s="7">
        <v>57.51</v>
      </c>
      <c r="D61" s="16">
        <f>(C61-B61)/B61</f>
        <v>5.0986842105263143E-2</v>
      </c>
      <c r="E61" s="9">
        <v>50.55</v>
      </c>
      <c r="F61" s="16">
        <f>(C61-E61)/E61</f>
        <v>0.13768545994065284</v>
      </c>
      <c r="G61" s="40"/>
      <c r="H61" s="16"/>
      <c r="I61" s="16"/>
      <c r="L61" s="16"/>
    </row>
    <row r="62" spans="1:12" ht="12.75" customHeight="1">
      <c r="A62" s="1" t="s">
        <v>3772</v>
      </c>
      <c r="B62" s="7">
        <v>58.81</v>
      </c>
      <c r="C62" s="7">
        <v>61.7</v>
      </c>
      <c r="D62" s="16">
        <f>(C62-B62)/B62</f>
        <v>4.9141302499574907E-2</v>
      </c>
      <c r="E62" s="9">
        <v>50.55</v>
      </c>
      <c r="F62" s="16">
        <f>(C62-E62)/E62</f>
        <v>0.2205736894164195</v>
      </c>
      <c r="G62" s="40"/>
      <c r="H62" s="16"/>
      <c r="I62" s="16"/>
      <c r="L62" s="16"/>
    </row>
    <row r="63" spans="1:12">
      <c r="A63" s="1"/>
      <c r="B63" s="7"/>
      <c r="C63" s="7"/>
      <c r="D63" s="16"/>
      <c r="E63" s="9"/>
      <c r="F63" s="16"/>
      <c r="G63" s="40"/>
      <c r="H63" s="16"/>
      <c r="I63" s="16"/>
      <c r="L63" s="16"/>
    </row>
    <row r="64" spans="1:12" ht="51">
      <c r="A64" s="2" t="s">
        <v>3554</v>
      </c>
      <c r="B64" s="12" t="s">
        <v>3547</v>
      </c>
      <c r="C64" s="44"/>
      <c r="D64" s="43"/>
      <c r="E64" s="44"/>
      <c r="F64" s="43"/>
      <c r="G64" s="23" t="s">
        <v>3983</v>
      </c>
      <c r="H64" s="43">
        <f>AVERAGE(F65)</f>
        <v>0</v>
      </c>
      <c r="I64" s="43"/>
      <c r="J64" s="8"/>
      <c r="K64" s="8"/>
      <c r="L64" s="43"/>
    </row>
    <row r="65" spans="1:12" ht="12.75" customHeight="1">
      <c r="A65" s="1" t="s">
        <v>3555</v>
      </c>
      <c r="B65" s="7">
        <v>33.57</v>
      </c>
      <c r="C65" s="7">
        <v>42.94</v>
      </c>
      <c r="D65" s="16">
        <f>(C65-B65)/B65</f>
        <v>0.27911826035150422</v>
      </c>
      <c r="E65" s="9">
        <v>42.94</v>
      </c>
      <c r="F65" s="16">
        <f>(C65-E65)/E65</f>
        <v>0</v>
      </c>
      <c r="G65" s="40"/>
      <c r="H65" s="16"/>
      <c r="I65" s="16"/>
      <c r="L65" s="16"/>
    </row>
    <row r="66" spans="1:12">
      <c r="A66" s="1"/>
      <c r="B66" s="7"/>
      <c r="C66" s="7"/>
      <c r="D66" s="16"/>
      <c r="E66" s="9"/>
      <c r="F66" s="16"/>
      <c r="G66" s="40"/>
      <c r="H66" s="16"/>
      <c r="I66" s="16"/>
      <c r="L66" s="16"/>
    </row>
    <row r="67" spans="1:12" ht="12.75" customHeight="1">
      <c r="A67" s="2" t="s">
        <v>3950</v>
      </c>
      <c r="B67" s="12" t="s">
        <v>3547</v>
      </c>
      <c r="C67" s="44" t="s">
        <v>3981</v>
      </c>
      <c r="D67" s="43"/>
      <c r="E67" s="44"/>
      <c r="F67" s="43"/>
      <c r="G67" s="23" t="s">
        <v>3983</v>
      </c>
      <c r="H67" s="43">
        <f>AVERAGE(F68)</f>
        <v>3.0945013092121026E-2</v>
      </c>
      <c r="I67" s="43"/>
      <c r="J67" s="8"/>
      <c r="K67" s="8"/>
      <c r="L67" s="43"/>
    </row>
    <row r="68" spans="1:12" ht="12.75" customHeight="1">
      <c r="A68" s="1" t="s">
        <v>3774</v>
      </c>
      <c r="B68" s="7">
        <v>43.31</v>
      </c>
      <c r="C68" s="7">
        <v>43.31</v>
      </c>
      <c r="D68" s="16">
        <f>(C68-B68)/B68</f>
        <v>0</v>
      </c>
      <c r="E68" s="9">
        <v>42.01</v>
      </c>
      <c r="F68" s="16">
        <f>(C68-E68)/E68</f>
        <v>3.0945013092121026E-2</v>
      </c>
      <c r="G68" s="40"/>
      <c r="H68" s="16"/>
      <c r="I68" s="16"/>
      <c r="L68" s="16"/>
    </row>
    <row r="69" spans="1:12">
      <c r="A69" s="1"/>
      <c r="B69" s="7"/>
      <c r="C69" s="7"/>
      <c r="D69" s="16"/>
      <c r="E69" s="9"/>
      <c r="F69" s="16"/>
      <c r="G69" s="40"/>
      <c r="H69" s="16"/>
      <c r="I69" s="16"/>
      <c r="L69" s="16"/>
    </row>
    <row r="70" spans="1:12" ht="12.75" customHeight="1">
      <c r="A70" s="2" t="s">
        <v>3775</v>
      </c>
      <c r="B70" s="12" t="s">
        <v>3547</v>
      </c>
      <c r="C70" s="44" t="s">
        <v>3981</v>
      </c>
      <c r="D70" s="43"/>
      <c r="E70" s="44"/>
      <c r="F70" s="43"/>
      <c r="G70" s="23" t="s">
        <v>3983</v>
      </c>
      <c r="H70" s="43">
        <f>AVERAGE(F71:F73)</f>
        <v>3.7588332581566679E-2</v>
      </c>
      <c r="I70" s="43"/>
      <c r="J70" s="8"/>
      <c r="K70" s="8"/>
      <c r="L70" s="43"/>
    </row>
    <row r="71" spans="1:12" ht="12.75" customHeight="1">
      <c r="A71" s="1" t="s">
        <v>3560</v>
      </c>
      <c r="B71" s="7">
        <v>44.34</v>
      </c>
      <c r="C71" s="7">
        <v>44.34</v>
      </c>
      <c r="D71" s="16">
        <f>(C71-B71)/B71</f>
        <v>0</v>
      </c>
      <c r="E71" s="9">
        <v>44.34</v>
      </c>
      <c r="F71" s="16">
        <f>(C71-E71)/E71</f>
        <v>0</v>
      </c>
      <c r="G71" s="40"/>
      <c r="H71" s="16"/>
      <c r="I71" s="16"/>
      <c r="L71" s="16"/>
    </row>
    <row r="72" spans="1:12" ht="12.75" customHeight="1">
      <c r="A72" s="1" t="s">
        <v>3562</v>
      </c>
      <c r="B72" s="7">
        <v>46.34</v>
      </c>
      <c r="C72" s="7">
        <v>46.34</v>
      </c>
      <c r="D72" s="16">
        <f>(C72-B72)/B72</f>
        <v>0</v>
      </c>
      <c r="E72" s="9">
        <v>44.34</v>
      </c>
      <c r="F72" s="16">
        <f>(C72-E72)/E72</f>
        <v>4.5105999097880017E-2</v>
      </c>
      <c r="G72" s="40"/>
      <c r="H72" s="16"/>
      <c r="I72" s="16"/>
      <c r="L72" s="16"/>
    </row>
    <row r="73" spans="1:12" ht="12.75" customHeight="1">
      <c r="A73" s="1" t="s">
        <v>3776</v>
      </c>
      <c r="B73" s="7">
        <v>47.34</v>
      </c>
      <c r="C73" s="7">
        <v>47.34</v>
      </c>
      <c r="D73" s="16">
        <f>(C73-B73)/B73</f>
        <v>0</v>
      </c>
      <c r="E73" s="9">
        <v>44.34</v>
      </c>
      <c r="F73" s="16">
        <f>(C73-E73)/E73</f>
        <v>6.7658998646820026E-2</v>
      </c>
      <c r="G73" s="40"/>
      <c r="H73" s="16"/>
      <c r="I73" s="16"/>
      <c r="L73" s="16"/>
    </row>
    <row r="74" spans="1:12">
      <c r="A74" s="1"/>
      <c r="B74" s="7"/>
      <c r="C74" s="7"/>
      <c r="D74" s="16"/>
      <c r="E74" s="9"/>
      <c r="F74" s="16"/>
      <c r="G74" s="40"/>
      <c r="H74" s="16"/>
      <c r="I74" s="16"/>
      <c r="L74" s="16"/>
    </row>
    <row r="75" spans="1:12" ht="12.75" customHeight="1">
      <c r="A75" s="2" t="s">
        <v>3563</v>
      </c>
      <c r="B75" s="12" t="s">
        <v>3564</v>
      </c>
      <c r="C75" s="31"/>
      <c r="D75" s="43"/>
      <c r="E75" s="44"/>
      <c r="F75" s="43"/>
      <c r="G75" s="23" t="s">
        <v>3983</v>
      </c>
      <c r="H75" s="43">
        <f>AVERAGE(F76:F78)</f>
        <v>4.7984644913627604E-2</v>
      </c>
      <c r="I75" s="43"/>
      <c r="J75" s="8"/>
      <c r="K75" s="8"/>
      <c r="L75" s="43"/>
    </row>
    <row r="76" spans="1:12" ht="12.75" customHeight="1">
      <c r="A76" s="1" t="s">
        <v>3565</v>
      </c>
      <c r="B76" s="7">
        <v>54.38</v>
      </c>
      <c r="C76" s="7">
        <v>56.74</v>
      </c>
      <c r="D76" s="16">
        <f>(C76-B76)/B76</f>
        <v>4.3398308201544673E-2</v>
      </c>
      <c r="E76" s="9">
        <v>57.31</v>
      </c>
      <c r="F76" s="16">
        <f>(C76-E76)/E76</f>
        <v>-9.9459082184610061E-3</v>
      </c>
      <c r="G76" s="40"/>
      <c r="H76" s="16"/>
      <c r="I76" s="16"/>
      <c r="L76" s="16"/>
    </row>
    <row r="77" spans="1:12" ht="12.75" customHeight="1">
      <c r="A77" s="1" t="s">
        <v>3566</v>
      </c>
      <c r="B77" s="7">
        <v>57.68</v>
      </c>
      <c r="C77" s="7">
        <v>60.04</v>
      </c>
      <c r="D77" s="16">
        <f>(C77-B77)/B77</f>
        <v>4.0915395284327312E-2</v>
      </c>
      <c r="E77" s="9">
        <v>57.31</v>
      </c>
      <c r="F77" s="16">
        <f>(C77-E77)/E77</f>
        <v>4.7635665677892111E-2</v>
      </c>
      <c r="G77" s="40"/>
      <c r="H77" s="16"/>
      <c r="I77" s="16"/>
      <c r="L77" s="16"/>
    </row>
    <row r="78" spans="1:12" ht="12.75" customHeight="1">
      <c r="A78" s="1" t="s">
        <v>3567</v>
      </c>
      <c r="B78" s="7">
        <v>61.04</v>
      </c>
      <c r="C78" s="7">
        <v>63.4</v>
      </c>
      <c r="D78" s="16">
        <f>(C78-B78)/B78</f>
        <v>3.8663171690694616E-2</v>
      </c>
      <c r="E78" s="9">
        <v>57.31</v>
      </c>
      <c r="F78" s="16">
        <f>(C78-E78)/E78</f>
        <v>0.10626417728145168</v>
      </c>
      <c r="G78" s="40"/>
      <c r="H78" s="16"/>
      <c r="I78" s="16"/>
      <c r="L78" s="16"/>
    </row>
    <row r="79" spans="1:12">
      <c r="A79" s="1"/>
      <c r="B79" s="7"/>
      <c r="C79" s="7"/>
      <c r="D79" s="16"/>
      <c r="E79" s="9"/>
      <c r="F79" s="16"/>
      <c r="G79" s="40"/>
      <c r="H79" s="16"/>
      <c r="I79" s="16"/>
      <c r="L79" s="16"/>
    </row>
    <row r="80" spans="1:12" ht="12.75" customHeight="1">
      <c r="A80" s="2" t="s">
        <v>3568</v>
      </c>
      <c r="B80" s="10"/>
      <c r="C80" s="10"/>
      <c r="D80" s="16"/>
      <c r="E80" s="9"/>
      <c r="F80" s="16"/>
      <c r="G80" s="40"/>
      <c r="H80" s="16"/>
      <c r="I80" s="16"/>
      <c r="L80" s="16"/>
    </row>
    <row r="81" spans="1:12" ht="12.75" customHeight="1">
      <c r="A81" s="3" t="s">
        <v>3569</v>
      </c>
      <c r="B81" s="12" t="s">
        <v>3547</v>
      </c>
      <c r="C81" s="12" t="s">
        <v>3547</v>
      </c>
      <c r="D81" s="43"/>
      <c r="E81" s="44"/>
      <c r="F81" s="43"/>
      <c r="G81" s="23" t="s">
        <v>3983</v>
      </c>
      <c r="H81" s="43">
        <f>AVERAGE(F82:F92)</f>
        <v>3.6118050556802374E-2</v>
      </c>
      <c r="I81" s="43"/>
      <c r="J81" s="8"/>
      <c r="K81" s="8"/>
      <c r="L81" s="43"/>
    </row>
    <row r="82" spans="1:12" ht="12.75" customHeight="1">
      <c r="A82" s="1" t="s">
        <v>3573</v>
      </c>
      <c r="B82" s="7">
        <v>42.94</v>
      </c>
      <c r="C82" s="7">
        <v>42.94</v>
      </c>
      <c r="D82" s="16">
        <f t="shared" ref="D82:D92" si="0">(C82-B82)/B82</f>
        <v>0</v>
      </c>
      <c r="E82" s="9">
        <v>42.94</v>
      </c>
      <c r="F82" s="16">
        <f t="shared" ref="F82:F92" si="1">(C82-E82)/E82</f>
        <v>0</v>
      </c>
      <c r="G82" s="40"/>
      <c r="H82" s="16"/>
      <c r="I82" s="16"/>
      <c r="L82" s="16"/>
    </row>
    <row r="83" spans="1:12" ht="12.75" customHeight="1">
      <c r="A83" s="1" t="s">
        <v>3575</v>
      </c>
      <c r="B83" s="7">
        <v>43.15</v>
      </c>
      <c r="C83" s="7">
        <v>43.15</v>
      </c>
      <c r="D83" s="16">
        <f t="shared" si="0"/>
        <v>0</v>
      </c>
      <c r="E83" s="9">
        <v>42.94</v>
      </c>
      <c r="F83" s="16">
        <f t="shared" si="1"/>
        <v>4.890544946436909E-3</v>
      </c>
      <c r="G83" s="40"/>
      <c r="H83" s="16"/>
      <c r="I83" s="16"/>
      <c r="L83" s="16"/>
    </row>
    <row r="84" spans="1:12" ht="12.75" customHeight="1">
      <c r="A84" s="1" t="s">
        <v>3576</v>
      </c>
      <c r="B84" s="7">
        <v>43.25</v>
      </c>
      <c r="C84" s="7">
        <v>43.25</v>
      </c>
      <c r="D84" s="16">
        <f t="shared" si="0"/>
        <v>0</v>
      </c>
      <c r="E84" s="9">
        <v>42.94</v>
      </c>
      <c r="F84" s="16">
        <f t="shared" si="1"/>
        <v>7.2193758733116505E-3</v>
      </c>
      <c r="G84" s="40"/>
      <c r="H84" s="16"/>
      <c r="I84" s="16"/>
      <c r="L84" s="16"/>
    </row>
    <row r="85" spans="1:12" ht="12.75" customHeight="1">
      <c r="A85" s="1" t="s">
        <v>3577</v>
      </c>
      <c r="B85" s="7">
        <v>43.34</v>
      </c>
      <c r="C85" s="7">
        <v>43.34</v>
      </c>
      <c r="D85" s="16">
        <f t="shared" si="0"/>
        <v>0</v>
      </c>
      <c r="E85" s="9">
        <v>42.94</v>
      </c>
      <c r="F85" s="16">
        <f t="shared" si="1"/>
        <v>9.3153237074989678E-3</v>
      </c>
      <c r="G85" s="40"/>
      <c r="H85" s="16"/>
      <c r="I85" s="16"/>
      <c r="L85" s="16"/>
    </row>
    <row r="86" spans="1:12" ht="12.75" customHeight="1">
      <c r="A86" s="1" t="s">
        <v>3579</v>
      </c>
      <c r="B86" s="7">
        <v>43.44</v>
      </c>
      <c r="C86" s="7">
        <v>43.44</v>
      </c>
      <c r="D86" s="16">
        <f t="shared" si="0"/>
        <v>0</v>
      </c>
      <c r="E86" s="9">
        <v>42.94</v>
      </c>
      <c r="F86" s="16">
        <f t="shared" si="1"/>
        <v>1.1644154634373545E-2</v>
      </c>
      <c r="G86" s="40"/>
      <c r="H86" s="16"/>
      <c r="I86" s="16"/>
      <c r="L86" s="16"/>
    </row>
    <row r="87" spans="1:12" ht="12.75" customHeight="1">
      <c r="A87" s="1" t="s">
        <v>3777</v>
      </c>
      <c r="B87" s="7">
        <v>46.1</v>
      </c>
      <c r="C87" s="7">
        <v>46.1</v>
      </c>
      <c r="D87" s="16">
        <f t="shared" si="0"/>
        <v>0</v>
      </c>
      <c r="E87" s="9">
        <v>42.94</v>
      </c>
      <c r="F87" s="16">
        <f t="shared" si="1"/>
        <v>7.3591057289240897E-2</v>
      </c>
      <c r="G87" s="40"/>
      <c r="H87" s="16"/>
      <c r="I87" s="16"/>
      <c r="L87" s="16"/>
    </row>
    <row r="88" spans="1:12" ht="12.75" customHeight="1">
      <c r="A88" s="1" t="s">
        <v>3778</v>
      </c>
      <c r="B88" s="7">
        <v>45.6</v>
      </c>
      <c r="C88" s="7">
        <v>45.6</v>
      </c>
      <c r="D88" s="16">
        <f t="shared" si="0"/>
        <v>0</v>
      </c>
      <c r="E88" s="9">
        <v>42.94</v>
      </c>
      <c r="F88" s="16">
        <f t="shared" si="1"/>
        <v>6.1946902654867346E-2</v>
      </c>
      <c r="G88" s="40"/>
      <c r="H88" s="16"/>
      <c r="I88" s="16"/>
      <c r="L88" s="16"/>
    </row>
    <row r="89" spans="1:12" ht="12.75" customHeight="1">
      <c r="A89" s="1" t="s">
        <v>3779</v>
      </c>
      <c r="B89" s="7">
        <v>45.35</v>
      </c>
      <c r="C89" s="7">
        <v>45.35</v>
      </c>
      <c r="D89" s="16">
        <f t="shared" si="0"/>
        <v>0</v>
      </c>
      <c r="E89" s="9">
        <v>42.94</v>
      </c>
      <c r="F89" s="16">
        <f t="shared" si="1"/>
        <v>5.6124825337680574E-2</v>
      </c>
      <c r="G89" s="40"/>
      <c r="H89" s="16"/>
      <c r="I89" s="16"/>
      <c r="L89" s="16"/>
    </row>
    <row r="90" spans="1:12" ht="12.75" customHeight="1">
      <c r="A90" s="1" t="s">
        <v>3780</v>
      </c>
      <c r="B90" s="7">
        <v>45.96</v>
      </c>
      <c r="C90" s="7">
        <v>45.96</v>
      </c>
      <c r="D90" s="16">
        <f t="shared" si="0"/>
        <v>0</v>
      </c>
      <c r="E90" s="9">
        <v>42.94</v>
      </c>
      <c r="F90" s="16">
        <f t="shared" si="1"/>
        <v>7.0330693991616289E-2</v>
      </c>
      <c r="G90" s="40"/>
      <c r="H90" s="16"/>
      <c r="I90" s="16"/>
      <c r="L90" s="16"/>
    </row>
    <row r="91" spans="1:12" ht="12.75" customHeight="1">
      <c r="A91" s="1" t="s">
        <v>3781</v>
      </c>
      <c r="B91" s="7">
        <v>45.6</v>
      </c>
      <c r="C91" s="7">
        <v>45.6</v>
      </c>
      <c r="D91" s="16">
        <f t="shared" si="0"/>
        <v>0</v>
      </c>
      <c r="E91" s="9">
        <v>42.94</v>
      </c>
      <c r="F91" s="16">
        <f t="shared" si="1"/>
        <v>6.1946902654867346E-2</v>
      </c>
      <c r="G91" s="40"/>
      <c r="H91" s="16"/>
      <c r="I91" s="16"/>
      <c r="L91" s="16"/>
    </row>
    <row r="92" spans="1:12" ht="12.75" customHeight="1">
      <c r="A92" s="1" t="s">
        <v>3593</v>
      </c>
      <c r="B92" s="7">
        <v>44.67</v>
      </c>
      <c r="C92" s="7">
        <v>44.67</v>
      </c>
      <c r="D92" s="16">
        <f t="shared" si="0"/>
        <v>0</v>
      </c>
      <c r="E92" s="9">
        <v>42.94</v>
      </c>
      <c r="F92" s="16">
        <f t="shared" si="1"/>
        <v>4.0288775034932556E-2</v>
      </c>
      <c r="G92" s="40"/>
      <c r="H92" s="16"/>
      <c r="I92" s="16"/>
      <c r="L92" s="16"/>
    </row>
    <row r="93" spans="1:12" ht="12.75" customHeight="1">
      <c r="A93" s="1" t="s">
        <v>3782</v>
      </c>
      <c r="B93" s="7"/>
      <c r="C93" s="7"/>
      <c r="D93" s="16"/>
      <c r="E93" s="9"/>
      <c r="F93" s="16"/>
      <c r="G93" s="40"/>
      <c r="H93" s="16"/>
      <c r="I93" s="16"/>
      <c r="L93" s="16"/>
    </row>
    <row r="94" spans="1:12" ht="12.75" customHeight="1">
      <c r="A94" s="1" t="s">
        <v>3783</v>
      </c>
      <c r="B94" s="7"/>
      <c r="C94" s="7"/>
      <c r="D94" s="16"/>
      <c r="E94" s="9"/>
      <c r="F94" s="16"/>
      <c r="G94" s="40"/>
      <c r="H94" s="16"/>
      <c r="I94" s="16"/>
      <c r="L94" s="16"/>
    </row>
    <row r="95" spans="1:12">
      <c r="A95" s="1"/>
      <c r="B95" s="7"/>
      <c r="C95" s="7"/>
      <c r="D95" s="16"/>
      <c r="E95" s="9"/>
      <c r="F95" s="16"/>
      <c r="G95" s="40"/>
      <c r="H95" s="16"/>
      <c r="I95" s="16"/>
      <c r="L95" s="16"/>
    </row>
    <row r="96" spans="1:12">
      <c r="A96" s="2" t="s">
        <v>3585</v>
      </c>
      <c r="B96" s="7"/>
      <c r="C96" s="44" t="s">
        <v>3981</v>
      </c>
      <c r="D96" s="43"/>
      <c r="E96" s="44"/>
      <c r="F96" s="43"/>
      <c r="G96" s="23" t="s">
        <v>3983</v>
      </c>
      <c r="H96" s="43">
        <f>AVERAGE(F97:F99)</f>
        <v>7.7675176534492199E-2</v>
      </c>
      <c r="I96" s="43"/>
      <c r="J96" s="8"/>
      <c r="K96" s="8"/>
      <c r="L96" s="43"/>
    </row>
    <row r="97" spans="1:12" ht="12.75" customHeight="1">
      <c r="A97" s="1" t="s">
        <v>3784</v>
      </c>
      <c r="B97" s="7">
        <v>55.63</v>
      </c>
      <c r="C97" s="7">
        <v>56.23</v>
      </c>
      <c r="D97" s="16">
        <f>(C97-B97)/B97</f>
        <v>1.0785547366528748E-2</v>
      </c>
      <c r="E97" s="9">
        <v>55.23</v>
      </c>
      <c r="F97" s="16">
        <f>(C97-E97)/E97</f>
        <v>1.8106101756291872E-2</v>
      </c>
      <c r="G97" s="40"/>
      <c r="H97" s="16"/>
      <c r="I97" s="16"/>
      <c r="L97" s="16"/>
    </row>
    <row r="98" spans="1:12" ht="12.75" customHeight="1">
      <c r="A98" s="1" t="s">
        <v>3588</v>
      </c>
      <c r="B98" s="7">
        <v>58.99</v>
      </c>
      <c r="C98" s="7">
        <v>59.52</v>
      </c>
      <c r="D98" s="16">
        <f>(C98-B98)/B98</f>
        <v>8.9845736565519769E-3</v>
      </c>
      <c r="E98" s="9">
        <v>55.23</v>
      </c>
      <c r="F98" s="16">
        <f>(C98-E98)/E98</f>
        <v>7.7675176534492241E-2</v>
      </c>
      <c r="G98" s="40"/>
      <c r="H98" s="16"/>
      <c r="I98" s="16"/>
      <c r="L98" s="16"/>
    </row>
    <row r="99" spans="1:12" ht="12.75" customHeight="1">
      <c r="A99" s="1" t="s">
        <v>3589</v>
      </c>
      <c r="B99" s="7">
        <v>62.36</v>
      </c>
      <c r="C99" s="7">
        <v>62.81</v>
      </c>
      <c r="D99" s="16">
        <f>(C99-B99)/B99</f>
        <v>7.2161642078255751E-3</v>
      </c>
      <c r="E99" s="9">
        <v>55.23</v>
      </c>
      <c r="F99" s="16">
        <f>(C99-E99)/E99</f>
        <v>0.13724425131269249</v>
      </c>
      <c r="G99" s="40"/>
      <c r="H99" s="16"/>
      <c r="I99" s="16"/>
      <c r="L99" s="16"/>
    </row>
    <row r="100" spans="1:12">
      <c r="A100" s="1"/>
      <c r="B100" s="7"/>
      <c r="C100" s="7"/>
      <c r="D100" s="16"/>
      <c r="E100" s="9"/>
      <c r="F100" s="16"/>
      <c r="G100" s="40"/>
      <c r="H100" s="16"/>
      <c r="I100" s="16"/>
      <c r="L100" s="16"/>
    </row>
    <row r="101" spans="1:12" ht="12.75" customHeight="1">
      <c r="A101" s="2" t="s">
        <v>3925</v>
      </c>
      <c r="B101" s="10"/>
      <c r="C101" s="44" t="s">
        <v>3981</v>
      </c>
      <c r="D101" s="43"/>
      <c r="E101" s="44"/>
      <c r="F101" s="43"/>
      <c r="G101" s="23" t="s">
        <v>3983</v>
      </c>
      <c r="H101" s="43">
        <f>AVERAGE(F102:F105)</f>
        <v>0.11553911205074005</v>
      </c>
      <c r="I101" s="43"/>
      <c r="J101" s="8"/>
      <c r="K101" s="8"/>
      <c r="L101" s="43"/>
    </row>
    <row r="102" spans="1:12" ht="12.75" customHeight="1">
      <c r="A102" s="1" t="s">
        <v>3786</v>
      </c>
      <c r="B102" s="7">
        <v>49.7</v>
      </c>
      <c r="C102" s="7">
        <v>49.95</v>
      </c>
      <c r="D102" s="16">
        <f>(C102-B102)/B102</f>
        <v>5.0301810865191147E-3</v>
      </c>
      <c r="E102" s="9">
        <v>47.3</v>
      </c>
      <c r="F102" s="16">
        <f>(C102-E102)/E102</f>
        <v>5.6025369978858472E-2</v>
      </c>
      <c r="G102" s="40"/>
      <c r="H102" s="16"/>
      <c r="I102" s="16"/>
      <c r="L102" s="16"/>
    </row>
    <row r="103" spans="1:12" ht="12.75" customHeight="1">
      <c r="A103" s="1" t="s">
        <v>3787</v>
      </c>
      <c r="B103" s="7">
        <v>50.7</v>
      </c>
      <c r="C103" s="7">
        <v>50.95</v>
      </c>
      <c r="D103" s="16">
        <f>(C103-B103)/B103</f>
        <v>4.9309664694280079E-3</v>
      </c>
      <c r="E103" s="9">
        <v>47.3</v>
      </c>
      <c r="F103" s="16">
        <f>(C103-E103)/E103</f>
        <v>7.7167019027484268E-2</v>
      </c>
      <c r="G103" s="40"/>
      <c r="H103" s="16"/>
      <c r="I103" s="16"/>
      <c r="L103" s="16"/>
    </row>
    <row r="104" spans="1:12" ht="12.75" customHeight="1">
      <c r="A104" s="1" t="s">
        <v>3788</v>
      </c>
      <c r="B104" s="7">
        <v>53.01</v>
      </c>
      <c r="C104" s="7">
        <v>53.26</v>
      </c>
      <c r="D104" s="16">
        <f>(C104-B104)/B104</f>
        <v>4.7160913035276366E-3</v>
      </c>
      <c r="E104" s="9">
        <v>47.3</v>
      </c>
      <c r="F104" s="16">
        <f>(C104-E104)/E104</f>
        <v>0.12600422832980976</v>
      </c>
      <c r="G104" s="40"/>
      <c r="H104" s="16"/>
      <c r="I104" s="16"/>
      <c r="L104" s="16"/>
    </row>
    <row r="105" spans="1:12" ht="12.75" customHeight="1">
      <c r="A105" s="1" t="s">
        <v>3789</v>
      </c>
      <c r="B105" s="7">
        <v>56.65</v>
      </c>
      <c r="C105" s="7">
        <v>56.9</v>
      </c>
      <c r="D105" s="16">
        <f>(C105-B105)/B105</f>
        <v>4.4130626654898504E-3</v>
      </c>
      <c r="E105" s="9">
        <v>47.3</v>
      </c>
      <c r="F105" s="16">
        <f>(C105-E105)/E105</f>
        <v>0.20295983086680766</v>
      </c>
      <c r="G105" s="40"/>
      <c r="H105" s="16"/>
      <c r="I105" s="16"/>
      <c r="L105" s="16"/>
    </row>
    <row r="106" spans="1:12">
      <c r="A106" s="1"/>
      <c r="B106" s="7"/>
      <c r="C106" s="7"/>
      <c r="D106" s="16"/>
      <c r="E106" s="9"/>
      <c r="F106" s="16"/>
      <c r="G106" s="40"/>
      <c r="H106" s="16"/>
      <c r="I106" s="16"/>
      <c r="L106" s="16"/>
    </row>
    <row r="107" spans="1:12" ht="12.75" customHeight="1">
      <c r="A107" s="2" t="s">
        <v>3592</v>
      </c>
      <c r="B107" s="10"/>
      <c r="C107" s="10"/>
      <c r="D107" s="16"/>
      <c r="E107" s="9"/>
      <c r="F107" s="16"/>
      <c r="G107" s="40"/>
      <c r="H107" s="16"/>
      <c r="I107" s="16"/>
      <c r="L107" s="16"/>
    </row>
    <row r="108" spans="1:12" ht="25.5">
      <c r="A108" s="3" t="s">
        <v>3569</v>
      </c>
      <c r="B108" s="7"/>
      <c r="C108" s="31" t="s">
        <v>3996</v>
      </c>
      <c r="D108" s="43"/>
      <c r="E108" s="44"/>
      <c r="F108" s="43"/>
      <c r="G108" s="23" t="s">
        <v>3983</v>
      </c>
      <c r="H108" s="43">
        <f>AVERAGE(F109:F181)</f>
        <v>3.2943880482666103E-2</v>
      </c>
      <c r="I108" s="43"/>
      <c r="J108" s="8"/>
      <c r="K108" s="8"/>
      <c r="L108" s="43"/>
    </row>
    <row r="109" spans="1:12" ht="12.75" customHeight="1">
      <c r="A109" s="1" t="s">
        <v>3573</v>
      </c>
      <c r="B109" s="7">
        <v>44.82</v>
      </c>
      <c r="C109" s="7">
        <v>53.93</v>
      </c>
      <c r="D109" s="16">
        <f t="shared" ref="D109:D133" si="2">(C109-B109)/B109</f>
        <v>0.20325747434181168</v>
      </c>
      <c r="E109" s="9">
        <v>52.21</v>
      </c>
      <c r="F109" s="16">
        <f t="shared" ref="F109:F133" si="3">(C109-E109)/E109</f>
        <v>3.2943880482666131E-2</v>
      </c>
      <c r="G109" s="40"/>
      <c r="H109" s="16"/>
      <c r="I109" s="16"/>
      <c r="L109" s="16"/>
    </row>
    <row r="110" spans="1:12" ht="12.75" customHeight="1">
      <c r="A110" s="1" t="s">
        <v>3575</v>
      </c>
      <c r="B110" s="7">
        <v>44.82</v>
      </c>
      <c r="C110" s="7">
        <v>53.93</v>
      </c>
      <c r="D110" s="16">
        <f t="shared" si="2"/>
        <v>0.20325747434181168</v>
      </c>
      <c r="E110" s="9">
        <v>52.21</v>
      </c>
      <c r="F110" s="16">
        <f t="shared" si="3"/>
        <v>3.2943880482666131E-2</v>
      </c>
      <c r="G110" s="40"/>
      <c r="H110" s="16"/>
      <c r="I110" s="16"/>
      <c r="L110" s="16"/>
    </row>
    <row r="111" spans="1:12" ht="12.75" customHeight="1">
      <c r="A111" s="1" t="s">
        <v>3576</v>
      </c>
      <c r="B111" s="7">
        <v>44.82</v>
      </c>
      <c r="C111" s="7">
        <v>53.93</v>
      </c>
      <c r="D111" s="16">
        <f t="shared" si="2"/>
        <v>0.20325747434181168</v>
      </c>
      <c r="E111" s="9">
        <v>52.21</v>
      </c>
      <c r="F111" s="16">
        <f t="shared" si="3"/>
        <v>3.2943880482666131E-2</v>
      </c>
      <c r="G111" s="40"/>
      <c r="H111" s="16"/>
      <c r="I111" s="16"/>
      <c r="L111" s="16"/>
    </row>
    <row r="112" spans="1:12" ht="12.75" customHeight="1">
      <c r="A112" s="1" t="s">
        <v>3577</v>
      </c>
      <c r="B112" s="7">
        <v>44.82</v>
      </c>
      <c r="C112" s="7">
        <v>53.93</v>
      </c>
      <c r="D112" s="16">
        <f t="shared" si="2"/>
        <v>0.20325747434181168</v>
      </c>
      <c r="E112" s="9">
        <v>52.21</v>
      </c>
      <c r="F112" s="16">
        <f t="shared" si="3"/>
        <v>3.2943880482666131E-2</v>
      </c>
      <c r="G112" s="40"/>
      <c r="H112" s="16"/>
      <c r="I112" s="16"/>
      <c r="L112" s="16"/>
    </row>
    <row r="113" spans="1:12" ht="12.75" customHeight="1">
      <c r="A113" s="1" t="s">
        <v>3579</v>
      </c>
      <c r="B113" s="7">
        <v>44.82</v>
      </c>
      <c r="C113" s="7">
        <v>53.93</v>
      </c>
      <c r="D113" s="16">
        <f t="shared" si="2"/>
        <v>0.20325747434181168</v>
      </c>
      <c r="E113" s="9">
        <v>52.21</v>
      </c>
      <c r="F113" s="16">
        <f t="shared" si="3"/>
        <v>3.2943880482666131E-2</v>
      </c>
      <c r="G113" s="40"/>
      <c r="H113" s="16"/>
      <c r="I113" s="16"/>
      <c r="L113" s="16"/>
    </row>
    <row r="114" spans="1:12" ht="12.75" customHeight="1">
      <c r="A114" s="1" t="s">
        <v>3580</v>
      </c>
      <c r="B114" s="7">
        <v>44.82</v>
      </c>
      <c r="C114" s="7">
        <v>53.93</v>
      </c>
      <c r="D114" s="16">
        <f t="shared" si="2"/>
        <v>0.20325747434181168</v>
      </c>
      <c r="E114" s="9">
        <v>52.21</v>
      </c>
      <c r="F114" s="16">
        <f t="shared" si="3"/>
        <v>3.2943880482666131E-2</v>
      </c>
      <c r="G114" s="40"/>
      <c r="H114" s="16"/>
      <c r="I114" s="16"/>
      <c r="L114" s="16"/>
    </row>
    <row r="115" spans="1:12" ht="12.75" customHeight="1">
      <c r="A115" s="1" t="s">
        <v>3593</v>
      </c>
      <c r="B115" s="7">
        <v>44.82</v>
      </c>
      <c r="C115" s="7">
        <v>53.93</v>
      </c>
      <c r="D115" s="16">
        <f t="shared" si="2"/>
        <v>0.20325747434181168</v>
      </c>
      <c r="E115" s="9">
        <v>52.21</v>
      </c>
      <c r="F115" s="16">
        <f t="shared" si="3"/>
        <v>3.2943880482666131E-2</v>
      </c>
      <c r="G115" s="40"/>
      <c r="H115" s="16"/>
      <c r="I115" s="16"/>
      <c r="L115" s="16"/>
    </row>
    <row r="116" spans="1:12" ht="12.75" customHeight="1">
      <c r="A116" s="1" t="s">
        <v>3594</v>
      </c>
      <c r="B116" s="7">
        <v>44.82</v>
      </c>
      <c r="C116" s="7">
        <v>53.93</v>
      </c>
      <c r="D116" s="16">
        <f t="shared" si="2"/>
        <v>0.20325747434181168</v>
      </c>
      <c r="E116" s="9">
        <v>52.21</v>
      </c>
      <c r="F116" s="16">
        <f t="shared" si="3"/>
        <v>3.2943880482666131E-2</v>
      </c>
      <c r="G116" s="40"/>
      <c r="H116" s="16"/>
      <c r="I116" s="16"/>
      <c r="L116" s="16"/>
    </row>
    <row r="117" spans="1:12" ht="12.75" customHeight="1">
      <c r="A117" s="1" t="s">
        <v>3595</v>
      </c>
      <c r="B117" s="7">
        <v>44.82</v>
      </c>
      <c r="C117" s="7">
        <v>53.93</v>
      </c>
      <c r="D117" s="16">
        <f t="shared" si="2"/>
        <v>0.20325747434181168</v>
      </c>
      <c r="E117" s="9">
        <v>52.21</v>
      </c>
      <c r="F117" s="16">
        <f t="shared" si="3"/>
        <v>3.2943880482666131E-2</v>
      </c>
      <c r="G117" s="40"/>
      <c r="H117" s="16"/>
      <c r="I117" s="16"/>
      <c r="L117" s="16"/>
    </row>
    <row r="118" spans="1:12" ht="12.75" customHeight="1">
      <c r="A118" s="1" t="s">
        <v>3596</v>
      </c>
      <c r="B118" s="7">
        <v>44.82</v>
      </c>
      <c r="C118" s="7">
        <v>53.93</v>
      </c>
      <c r="D118" s="16">
        <f t="shared" si="2"/>
        <v>0.20325747434181168</v>
      </c>
      <c r="E118" s="9">
        <v>52.21</v>
      </c>
      <c r="F118" s="16">
        <f t="shared" si="3"/>
        <v>3.2943880482666131E-2</v>
      </c>
      <c r="G118" s="40"/>
      <c r="H118" s="16"/>
      <c r="I118" s="16"/>
      <c r="L118" s="16"/>
    </row>
    <row r="119" spans="1:12" ht="12.75" customHeight="1">
      <c r="A119" s="1" t="s">
        <v>3598</v>
      </c>
      <c r="B119" s="7">
        <v>44.82</v>
      </c>
      <c r="C119" s="7">
        <v>53.93</v>
      </c>
      <c r="D119" s="16">
        <f t="shared" si="2"/>
        <v>0.20325747434181168</v>
      </c>
      <c r="E119" s="9">
        <v>52.21</v>
      </c>
      <c r="F119" s="16">
        <f t="shared" si="3"/>
        <v>3.2943880482666131E-2</v>
      </c>
      <c r="G119" s="40"/>
      <c r="H119" s="16"/>
      <c r="I119" s="16"/>
      <c r="L119" s="16"/>
    </row>
    <row r="120" spans="1:12" ht="12.75" customHeight="1">
      <c r="A120" s="1" t="s">
        <v>3790</v>
      </c>
      <c r="B120" s="7">
        <v>44.82</v>
      </c>
      <c r="C120" s="7">
        <v>53.93</v>
      </c>
      <c r="D120" s="16">
        <f t="shared" si="2"/>
        <v>0.20325747434181168</v>
      </c>
      <c r="E120" s="9">
        <v>52.21</v>
      </c>
      <c r="F120" s="16">
        <f t="shared" si="3"/>
        <v>3.2943880482666131E-2</v>
      </c>
      <c r="G120" s="40"/>
      <c r="H120" s="16"/>
      <c r="I120" s="16"/>
      <c r="L120" s="16"/>
    </row>
    <row r="121" spans="1:12" ht="12.75" customHeight="1">
      <c r="A121" s="1" t="s">
        <v>3791</v>
      </c>
      <c r="B121" s="7">
        <v>44.82</v>
      </c>
      <c r="C121" s="7">
        <v>53.93</v>
      </c>
      <c r="D121" s="16">
        <f t="shared" si="2"/>
        <v>0.20325747434181168</v>
      </c>
      <c r="E121" s="9">
        <v>52.21</v>
      </c>
      <c r="F121" s="16">
        <f t="shared" si="3"/>
        <v>3.2943880482666131E-2</v>
      </c>
      <c r="G121" s="40"/>
      <c r="H121" s="16"/>
      <c r="I121" s="16"/>
      <c r="L121" s="16"/>
    </row>
    <row r="122" spans="1:12" ht="12.75" customHeight="1">
      <c r="A122" s="1" t="s">
        <v>3792</v>
      </c>
      <c r="B122" s="7">
        <v>44.82</v>
      </c>
      <c r="C122" s="7">
        <v>53.93</v>
      </c>
      <c r="D122" s="16">
        <f t="shared" si="2"/>
        <v>0.20325747434181168</v>
      </c>
      <c r="E122" s="9">
        <v>52.21</v>
      </c>
      <c r="F122" s="16">
        <f t="shared" si="3"/>
        <v>3.2943880482666131E-2</v>
      </c>
      <c r="G122" s="40"/>
      <c r="H122" s="16"/>
      <c r="I122" s="16"/>
      <c r="L122" s="16"/>
    </row>
    <row r="123" spans="1:12" ht="12.75" customHeight="1">
      <c r="A123" s="1" t="s">
        <v>3793</v>
      </c>
      <c r="B123" s="7">
        <v>44.82</v>
      </c>
      <c r="C123" s="7">
        <v>53.93</v>
      </c>
      <c r="D123" s="16">
        <f t="shared" si="2"/>
        <v>0.20325747434181168</v>
      </c>
      <c r="E123" s="9">
        <v>52.21</v>
      </c>
      <c r="F123" s="16">
        <f t="shared" si="3"/>
        <v>3.2943880482666131E-2</v>
      </c>
      <c r="G123" s="40"/>
      <c r="H123" s="16"/>
      <c r="I123" s="16"/>
      <c r="L123" s="16"/>
    </row>
    <row r="124" spans="1:12" ht="12.75" customHeight="1">
      <c r="A124" s="1" t="s">
        <v>3794</v>
      </c>
      <c r="B124" s="7">
        <v>44.82</v>
      </c>
      <c r="C124" s="7">
        <v>53.93</v>
      </c>
      <c r="D124" s="16">
        <f t="shared" si="2"/>
        <v>0.20325747434181168</v>
      </c>
      <c r="E124" s="9">
        <v>52.21</v>
      </c>
      <c r="F124" s="16">
        <f t="shared" si="3"/>
        <v>3.2943880482666131E-2</v>
      </c>
      <c r="G124" s="40"/>
      <c r="H124" s="16"/>
      <c r="I124" s="16"/>
      <c r="L124" s="16"/>
    </row>
    <row r="125" spans="1:12" ht="12.75" customHeight="1">
      <c r="A125" s="1" t="s">
        <v>3795</v>
      </c>
      <c r="B125" s="7">
        <v>44.82</v>
      </c>
      <c r="C125" s="7">
        <v>53.93</v>
      </c>
      <c r="D125" s="16">
        <f t="shared" si="2"/>
        <v>0.20325747434181168</v>
      </c>
      <c r="E125" s="9">
        <v>52.21</v>
      </c>
      <c r="F125" s="16">
        <f t="shared" si="3"/>
        <v>3.2943880482666131E-2</v>
      </c>
      <c r="G125" s="40"/>
      <c r="H125" s="16"/>
      <c r="I125" s="16"/>
      <c r="L125" s="16"/>
    </row>
    <row r="126" spans="1:12" ht="12.75" customHeight="1">
      <c r="A126" s="1" t="s">
        <v>3796</v>
      </c>
      <c r="B126" s="7">
        <v>44.82</v>
      </c>
      <c r="C126" s="7">
        <v>53.93</v>
      </c>
      <c r="D126" s="16">
        <f t="shared" si="2"/>
        <v>0.20325747434181168</v>
      </c>
      <c r="E126" s="9">
        <v>52.21</v>
      </c>
      <c r="F126" s="16">
        <f t="shared" si="3"/>
        <v>3.2943880482666131E-2</v>
      </c>
      <c r="G126" s="40"/>
      <c r="H126" s="16"/>
      <c r="I126" s="16"/>
      <c r="L126" s="16"/>
    </row>
    <row r="127" spans="1:12" ht="12.75" customHeight="1">
      <c r="A127" s="1" t="s">
        <v>3797</v>
      </c>
      <c r="B127" s="7">
        <v>44.82</v>
      </c>
      <c r="C127" s="7">
        <v>53.93</v>
      </c>
      <c r="D127" s="16">
        <f t="shared" si="2"/>
        <v>0.20325747434181168</v>
      </c>
      <c r="E127" s="9">
        <v>52.21</v>
      </c>
      <c r="F127" s="16">
        <f t="shared" si="3"/>
        <v>3.2943880482666131E-2</v>
      </c>
      <c r="G127" s="40"/>
      <c r="H127" s="16"/>
      <c r="I127" s="16"/>
      <c r="L127" s="16"/>
    </row>
    <row r="128" spans="1:12" ht="12.75" customHeight="1">
      <c r="A128" s="1" t="s">
        <v>3798</v>
      </c>
      <c r="B128" s="7">
        <v>44.82</v>
      </c>
      <c r="C128" s="7">
        <v>53.93</v>
      </c>
      <c r="D128" s="16">
        <f t="shared" si="2"/>
        <v>0.20325747434181168</v>
      </c>
      <c r="E128" s="9">
        <v>52.21</v>
      </c>
      <c r="F128" s="16">
        <f t="shared" si="3"/>
        <v>3.2943880482666131E-2</v>
      </c>
      <c r="G128" s="40"/>
      <c r="H128" s="16"/>
      <c r="I128" s="16"/>
      <c r="L128" s="16"/>
    </row>
    <row r="129" spans="1:12" ht="12.75" customHeight="1">
      <c r="A129" s="1" t="s">
        <v>3799</v>
      </c>
      <c r="B129" s="7">
        <v>44.82</v>
      </c>
      <c r="C129" s="7">
        <v>53.93</v>
      </c>
      <c r="D129" s="16">
        <f t="shared" si="2"/>
        <v>0.20325747434181168</v>
      </c>
      <c r="E129" s="9">
        <v>52.21</v>
      </c>
      <c r="F129" s="16">
        <f t="shared" si="3"/>
        <v>3.2943880482666131E-2</v>
      </c>
      <c r="G129" s="40"/>
      <c r="H129" s="16"/>
      <c r="I129" s="16"/>
      <c r="L129" s="16"/>
    </row>
    <row r="130" spans="1:12" ht="12.75" customHeight="1">
      <c r="A130" s="1" t="s">
        <v>3800</v>
      </c>
      <c r="B130" s="7">
        <v>44.82</v>
      </c>
      <c r="C130" s="7">
        <v>53.93</v>
      </c>
      <c r="D130" s="16">
        <f t="shared" si="2"/>
        <v>0.20325747434181168</v>
      </c>
      <c r="E130" s="9">
        <v>52.21</v>
      </c>
      <c r="F130" s="16">
        <f t="shared" si="3"/>
        <v>3.2943880482666131E-2</v>
      </c>
      <c r="G130" s="40"/>
      <c r="H130" s="16"/>
      <c r="I130" s="16"/>
      <c r="L130" s="16"/>
    </row>
    <row r="131" spans="1:12" ht="12.75" customHeight="1">
      <c r="A131" s="1" t="s">
        <v>3801</v>
      </c>
      <c r="B131" s="7">
        <v>44.82</v>
      </c>
      <c r="C131" s="7">
        <v>53.93</v>
      </c>
      <c r="D131" s="16">
        <f t="shared" si="2"/>
        <v>0.20325747434181168</v>
      </c>
      <c r="E131" s="9">
        <v>52.21</v>
      </c>
      <c r="F131" s="16">
        <f t="shared" si="3"/>
        <v>3.2943880482666131E-2</v>
      </c>
      <c r="G131" s="40"/>
      <c r="H131" s="16"/>
      <c r="I131" s="16"/>
      <c r="L131" s="16"/>
    </row>
    <row r="132" spans="1:12" ht="12.75" customHeight="1">
      <c r="A132" s="1" t="s">
        <v>3802</v>
      </c>
      <c r="B132" s="7">
        <v>44.82</v>
      </c>
      <c r="C132" s="7">
        <v>53.93</v>
      </c>
      <c r="D132" s="16">
        <f t="shared" si="2"/>
        <v>0.20325747434181168</v>
      </c>
      <c r="E132" s="9">
        <v>52.21</v>
      </c>
      <c r="F132" s="16">
        <f t="shared" si="3"/>
        <v>3.2943880482666131E-2</v>
      </c>
      <c r="G132" s="40"/>
      <c r="H132" s="16"/>
      <c r="I132" s="16"/>
      <c r="L132" s="16"/>
    </row>
    <row r="133" spans="1:12" ht="12.75" customHeight="1">
      <c r="A133" s="1" t="s">
        <v>3803</v>
      </c>
      <c r="B133" s="7">
        <v>44.82</v>
      </c>
      <c r="C133" s="7">
        <v>53.93</v>
      </c>
      <c r="D133" s="16">
        <f t="shared" si="2"/>
        <v>0.20325747434181168</v>
      </c>
      <c r="E133" s="9">
        <v>52.21</v>
      </c>
      <c r="F133" s="16">
        <f t="shared" si="3"/>
        <v>3.2943880482666131E-2</v>
      </c>
      <c r="G133" s="40"/>
      <c r="H133" s="16"/>
      <c r="I133" s="16"/>
      <c r="L133" s="16"/>
    </row>
    <row r="134" spans="1:12" ht="12.75" customHeight="1">
      <c r="A134" s="1" t="s">
        <v>3804</v>
      </c>
      <c r="B134" s="7"/>
      <c r="C134" s="7"/>
      <c r="D134" s="16"/>
      <c r="E134" s="9"/>
      <c r="F134" s="16"/>
      <c r="G134" s="40"/>
      <c r="H134" s="16"/>
      <c r="I134" s="16"/>
      <c r="L134" s="16"/>
    </row>
    <row r="135" spans="1:12" ht="12.75" customHeight="1">
      <c r="A135" s="1" t="s">
        <v>3805</v>
      </c>
      <c r="B135" s="7"/>
      <c r="C135" s="7"/>
      <c r="D135" s="16"/>
      <c r="E135" s="9"/>
      <c r="F135" s="16"/>
      <c r="G135" s="40"/>
      <c r="H135" s="16"/>
      <c r="I135" s="16"/>
      <c r="L135" s="16"/>
    </row>
    <row r="136" spans="1:12" ht="12.75" customHeight="1">
      <c r="A136" s="1"/>
      <c r="B136" s="7"/>
      <c r="C136" s="7"/>
      <c r="D136" s="16"/>
      <c r="E136" s="9"/>
      <c r="F136" s="16"/>
      <c r="G136" s="40"/>
      <c r="H136" s="16"/>
      <c r="I136" s="16"/>
      <c r="L136" s="16"/>
    </row>
    <row r="137" spans="1:12" ht="12.75" customHeight="1">
      <c r="A137" s="2" t="s">
        <v>3806</v>
      </c>
      <c r="B137" s="10"/>
      <c r="C137" s="10"/>
      <c r="D137" s="16"/>
      <c r="E137" s="9"/>
      <c r="F137" s="16"/>
      <c r="G137" s="40"/>
      <c r="H137" s="16"/>
      <c r="I137" s="16"/>
      <c r="L137" s="16"/>
    </row>
    <row r="138" spans="1:12" ht="12.75" customHeight="1">
      <c r="A138" s="2" t="s">
        <v>3807</v>
      </c>
      <c r="B138" s="10"/>
      <c r="C138" s="10"/>
      <c r="D138" s="16"/>
      <c r="E138" s="9"/>
      <c r="F138" s="16"/>
      <c r="G138" s="23" t="s">
        <v>3983</v>
      </c>
      <c r="H138" s="16"/>
      <c r="I138" s="16"/>
      <c r="L138" s="16"/>
    </row>
    <row r="139" spans="1:12">
      <c r="A139" s="3" t="s">
        <v>3569</v>
      </c>
      <c r="B139" s="7"/>
      <c r="C139" s="7"/>
      <c r="D139" s="16"/>
      <c r="E139" s="9"/>
      <c r="F139" s="16"/>
      <c r="G139" s="40"/>
      <c r="H139" s="16"/>
      <c r="I139" s="16"/>
      <c r="L139" s="16"/>
    </row>
    <row r="140" spans="1:12" ht="12.75" customHeight="1">
      <c r="A140" s="1" t="s">
        <v>3573</v>
      </c>
      <c r="B140" s="7">
        <v>44.82</v>
      </c>
      <c r="C140" s="7">
        <v>53.93</v>
      </c>
      <c r="D140" s="16">
        <f t="shared" ref="D140:D152" si="4">(C140-B140)/B140</f>
        <v>0.20325747434181168</v>
      </c>
      <c r="E140" s="9">
        <v>52.21</v>
      </c>
      <c r="F140" s="16">
        <f t="shared" ref="F140:F152" si="5">(C140-E140)/E140</f>
        <v>3.2943880482666131E-2</v>
      </c>
      <c r="G140" s="40"/>
      <c r="H140" s="16"/>
      <c r="I140" s="16"/>
      <c r="L140" s="16"/>
    </row>
    <row r="141" spans="1:12" ht="12.75" customHeight="1">
      <c r="A141" s="1" t="s">
        <v>3575</v>
      </c>
      <c r="B141" s="7">
        <v>44.82</v>
      </c>
      <c r="C141" s="7">
        <v>53.93</v>
      </c>
      <c r="D141" s="16">
        <f t="shared" si="4"/>
        <v>0.20325747434181168</v>
      </c>
      <c r="E141" s="9">
        <v>52.21</v>
      </c>
      <c r="F141" s="16">
        <f t="shared" si="5"/>
        <v>3.2943880482666131E-2</v>
      </c>
      <c r="G141" s="40"/>
      <c r="H141" s="16"/>
      <c r="I141" s="16"/>
      <c r="L141" s="16"/>
    </row>
    <row r="142" spans="1:12" ht="12.75" customHeight="1">
      <c r="A142" s="1" t="s">
        <v>3576</v>
      </c>
      <c r="B142" s="7">
        <v>44.82</v>
      </c>
      <c r="C142" s="7">
        <v>53.93</v>
      </c>
      <c r="D142" s="16">
        <f t="shared" si="4"/>
        <v>0.20325747434181168</v>
      </c>
      <c r="E142" s="9">
        <v>52.21</v>
      </c>
      <c r="F142" s="16">
        <f t="shared" si="5"/>
        <v>3.2943880482666131E-2</v>
      </c>
      <c r="G142" s="40"/>
      <c r="H142" s="16"/>
      <c r="I142" s="16"/>
      <c r="L142" s="16"/>
    </row>
    <row r="143" spans="1:12" ht="12.75" customHeight="1">
      <c r="A143" s="1" t="s">
        <v>3577</v>
      </c>
      <c r="B143" s="7">
        <v>44.82</v>
      </c>
      <c r="C143" s="7">
        <v>53.93</v>
      </c>
      <c r="D143" s="16">
        <f t="shared" si="4"/>
        <v>0.20325747434181168</v>
      </c>
      <c r="E143" s="9">
        <v>52.21</v>
      </c>
      <c r="F143" s="16">
        <f t="shared" si="5"/>
        <v>3.2943880482666131E-2</v>
      </c>
      <c r="G143" s="40"/>
      <c r="H143" s="16"/>
      <c r="I143" s="16"/>
      <c r="L143" s="16"/>
    </row>
    <row r="144" spans="1:12" ht="12.75" customHeight="1">
      <c r="A144" s="1" t="s">
        <v>3579</v>
      </c>
      <c r="B144" s="7">
        <v>44.82</v>
      </c>
      <c r="C144" s="7">
        <v>53.93</v>
      </c>
      <c r="D144" s="16">
        <f t="shared" si="4"/>
        <v>0.20325747434181168</v>
      </c>
      <c r="E144" s="9">
        <v>52.21</v>
      </c>
      <c r="F144" s="16">
        <f t="shared" si="5"/>
        <v>3.2943880482666131E-2</v>
      </c>
      <c r="G144" s="40"/>
      <c r="H144" s="16"/>
      <c r="I144" s="16"/>
      <c r="L144" s="16"/>
    </row>
    <row r="145" spans="1:12" ht="12.75" customHeight="1">
      <c r="A145" s="1" t="s">
        <v>3580</v>
      </c>
      <c r="B145" s="7">
        <v>44.82</v>
      </c>
      <c r="C145" s="7">
        <v>53.93</v>
      </c>
      <c r="D145" s="16">
        <f t="shared" si="4"/>
        <v>0.20325747434181168</v>
      </c>
      <c r="E145" s="9">
        <v>52.21</v>
      </c>
      <c r="F145" s="16">
        <f t="shared" si="5"/>
        <v>3.2943880482666131E-2</v>
      </c>
      <c r="G145" s="40"/>
      <c r="H145" s="16"/>
      <c r="I145" s="16"/>
      <c r="L145" s="16"/>
    </row>
    <row r="146" spans="1:12" ht="12.75" customHeight="1">
      <c r="A146" s="1" t="s">
        <v>3593</v>
      </c>
      <c r="B146" s="7">
        <v>44.82</v>
      </c>
      <c r="C146" s="7">
        <v>53.93</v>
      </c>
      <c r="D146" s="16">
        <f t="shared" si="4"/>
        <v>0.20325747434181168</v>
      </c>
      <c r="E146" s="9">
        <v>52.21</v>
      </c>
      <c r="F146" s="16">
        <f t="shared" si="5"/>
        <v>3.2943880482666131E-2</v>
      </c>
      <c r="G146" s="40"/>
      <c r="H146" s="16"/>
      <c r="I146" s="16"/>
      <c r="L146" s="16"/>
    </row>
    <row r="147" spans="1:12" ht="12.75" customHeight="1">
      <c r="A147" s="1" t="s">
        <v>3594</v>
      </c>
      <c r="B147" s="7">
        <v>44.82</v>
      </c>
      <c r="C147" s="7">
        <v>53.93</v>
      </c>
      <c r="D147" s="16">
        <f t="shared" si="4"/>
        <v>0.20325747434181168</v>
      </c>
      <c r="E147" s="9">
        <v>52.21</v>
      </c>
      <c r="F147" s="16">
        <f t="shared" si="5"/>
        <v>3.2943880482666131E-2</v>
      </c>
      <c r="G147" s="40"/>
      <c r="H147" s="16"/>
      <c r="I147" s="16"/>
      <c r="L147" s="16"/>
    </row>
    <row r="148" spans="1:12" ht="12.75" customHeight="1">
      <c r="A148" s="1" t="s">
        <v>3595</v>
      </c>
      <c r="B148" s="7">
        <v>44.82</v>
      </c>
      <c r="C148" s="7">
        <v>53.93</v>
      </c>
      <c r="D148" s="16">
        <f t="shared" si="4"/>
        <v>0.20325747434181168</v>
      </c>
      <c r="E148" s="9">
        <v>52.21</v>
      </c>
      <c r="F148" s="16">
        <f t="shared" si="5"/>
        <v>3.2943880482666131E-2</v>
      </c>
      <c r="G148" s="40"/>
      <c r="H148" s="16"/>
      <c r="I148" s="16"/>
      <c r="L148" s="16"/>
    </row>
    <row r="149" spans="1:12" ht="12.75" customHeight="1">
      <c r="A149" s="1" t="s">
        <v>3596</v>
      </c>
      <c r="B149" s="7">
        <v>44.82</v>
      </c>
      <c r="C149" s="7">
        <v>53.93</v>
      </c>
      <c r="D149" s="16">
        <f t="shared" si="4"/>
        <v>0.20325747434181168</v>
      </c>
      <c r="E149" s="9">
        <v>52.21</v>
      </c>
      <c r="F149" s="16">
        <f t="shared" si="5"/>
        <v>3.2943880482666131E-2</v>
      </c>
      <c r="G149" s="40"/>
      <c r="H149" s="16"/>
      <c r="I149" s="16"/>
      <c r="L149" s="16"/>
    </row>
    <row r="150" spans="1:12" ht="12.75" customHeight="1">
      <c r="A150" s="1" t="s">
        <v>3598</v>
      </c>
      <c r="B150" s="7">
        <v>44.82</v>
      </c>
      <c r="C150" s="7">
        <v>53.93</v>
      </c>
      <c r="D150" s="16">
        <f t="shared" si="4"/>
        <v>0.20325747434181168</v>
      </c>
      <c r="E150" s="9">
        <v>52.21</v>
      </c>
      <c r="F150" s="16">
        <f t="shared" si="5"/>
        <v>3.2943880482666131E-2</v>
      </c>
      <c r="G150" s="40"/>
      <c r="H150" s="16"/>
      <c r="I150" s="16"/>
      <c r="L150" s="16"/>
    </row>
    <row r="151" spans="1:12" ht="12.75" customHeight="1">
      <c r="A151" s="1" t="s">
        <v>3790</v>
      </c>
      <c r="B151" s="7">
        <v>44.82</v>
      </c>
      <c r="C151" s="7">
        <v>53.93</v>
      </c>
      <c r="D151" s="16">
        <f t="shared" si="4"/>
        <v>0.20325747434181168</v>
      </c>
      <c r="E151" s="9">
        <v>52.21</v>
      </c>
      <c r="F151" s="16">
        <f t="shared" si="5"/>
        <v>3.2943880482666131E-2</v>
      </c>
      <c r="G151" s="40"/>
      <c r="H151" s="16"/>
      <c r="I151" s="16"/>
      <c r="L151" s="16"/>
    </row>
    <row r="152" spans="1:12" ht="12.75" customHeight="1">
      <c r="A152" s="1" t="s">
        <v>3791</v>
      </c>
      <c r="B152" s="7">
        <v>44.82</v>
      </c>
      <c r="C152" s="7">
        <v>53.93</v>
      </c>
      <c r="D152" s="16">
        <f t="shared" si="4"/>
        <v>0.20325747434181168</v>
      </c>
      <c r="E152" s="9">
        <v>52.21</v>
      </c>
      <c r="F152" s="16">
        <f t="shared" si="5"/>
        <v>3.2943880482666131E-2</v>
      </c>
      <c r="G152" s="40"/>
      <c r="H152" s="16"/>
      <c r="I152" s="16"/>
      <c r="L152" s="16"/>
    </row>
    <row r="153" spans="1:12">
      <c r="A153" s="1" t="s">
        <v>3863</v>
      </c>
      <c r="B153" s="7"/>
      <c r="C153" s="7"/>
      <c r="D153" s="16"/>
      <c r="E153" s="9"/>
      <c r="F153" s="16"/>
      <c r="G153" s="40"/>
      <c r="H153" s="16"/>
      <c r="I153" s="16"/>
      <c r="L153" s="16"/>
    </row>
    <row r="154" spans="1:12" ht="12.75" customHeight="1">
      <c r="A154" s="1" t="s">
        <v>3805</v>
      </c>
      <c r="B154" s="11" t="s">
        <v>3534</v>
      </c>
      <c r="C154" s="7"/>
      <c r="D154" s="16"/>
      <c r="E154" s="9"/>
      <c r="F154" s="16"/>
      <c r="G154" s="40"/>
      <c r="H154" s="16"/>
      <c r="I154" s="16"/>
      <c r="L154" s="16"/>
    </row>
    <row r="155" spans="1:12">
      <c r="A155" s="1"/>
      <c r="B155" s="7"/>
      <c r="C155" s="7"/>
      <c r="D155" s="16"/>
      <c r="E155" s="9"/>
      <c r="F155" s="16"/>
      <c r="G155" s="40"/>
      <c r="H155" s="16"/>
      <c r="I155" s="16"/>
      <c r="L155" s="16"/>
    </row>
    <row r="156" spans="1:12" ht="12.75" customHeight="1">
      <c r="A156" s="2" t="s">
        <v>3864</v>
      </c>
      <c r="B156" s="10"/>
      <c r="C156" s="10"/>
      <c r="D156" s="16"/>
      <c r="E156" s="9"/>
      <c r="F156" s="16"/>
      <c r="G156" s="40"/>
      <c r="H156" s="16"/>
      <c r="I156" s="16"/>
      <c r="L156" s="16"/>
    </row>
    <row r="157" spans="1:12">
      <c r="A157" s="1"/>
      <c r="D157" s="16"/>
      <c r="E157" s="9"/>
      <c r="F157" s="16"/>
      <c r="G157" s="40"/>
      <c r="H157" s="16"/>
      <c r="I157" s="16"/>
      <c r="L157" s="16"/>
    </row>
    <row r="158" spans="1:12" ht="38.25" customHeight="1">
      <c r="A158" s="3" t="s">
        <v>3569</v>
      </c>
      <c r="B158" s="3" t="s">
        <v>3890</v>
      </c>
      <c r="C158" s="7"/>
      <c r="D158" s="16"/>
      <c r="E158" s="9"/>
      <c r="F158" s="16"/>
      <c r="G158" s="40"/>
      <c r="H158" s="16"/>
      <c r="I158" s="16"/>
      <c r="L158" s="16"/>
    </row>
    <row r="159" spans="1:12" ht="12.75" customHeight="1">
      <c r="A159" s="1" t="s">
        <v>3573</v>
      </c>
      <c r="B159" s="1">
        <v>55.84</v>
      </c>
      <c r="C159" s="7">
        <v>53.93</v>
      </c>
      <c r="D159" s="16">
        <f t="shared" ref="D159:D168" si="6">(C159-B159)/B159</f>
        <v>-3.4204871060171983E-2</v>
      </c>
      <c r="E159" s="9">
        <v>52.21</v>
      </c>
      <c r="F159" s="16">
        <f t="shared" ref="F159:F168" si="7">(C159-E159)/E159</f>
        <v>3.2943880482666131E-2</v>
      </c>
      <c r="G159" s="40"/>
      <c r="H159" s="16"/>
      <c r="I159" s="16"/>
      <c r="L159" s="16"/>
    </row>
    <row r="160" spans="1:12" ht="12.75" customHeight="1">
      <c r="A160" s="1" t="s">
        <v>3575</v>
      </c>
      <c r="B160" s="1">
        <v>56.65</v>
      </c>
      <c r="C160" s="7">
        <v>53.93</v>
      </c>
      <c r="D160" s="16">
        <f t="shared" si="6"/>
        <v>-4.8014121800529545E-2</v>
      </c>
      <c r="E160" s="9">
        <v>52.21</v>
      </c>
      <c r="F160" s="16">
        <f t="shared" si="7"/>
        <v>3.2943880482666131E-2</v>
      </c>
      <c r="G160" s="40"/>
      <c r="H160" s="16"/>
      <c r="I160" s="16"/>
      <c r="L160" s="16"/>
    </row>
    <row r="161" spans="1:12" ht="12.75" customHeight="1">
      <c r="A161" s="1" t="s">
        <v>3576</v>
      </c>
      <c r="B161" s="1">
        <v>56.87</v>
      </c>
      <c r="C161" s="7">
        <v>53.93</v>
      </c>
      <c r="D161" s="16">
        <f t="shared" si="6"/>
        <v>-5.1696852470546825E-2</v>
      </c>
      <c r="E161" s="9">
        <v>52.21</v>
      </c>
      <c r="F161" s="16">
        <f t="shared" si="7"/>
        <v>3.2943880482666131E-2</v>
      </c>
      <c r="G161" s="40"/>
      <c r="H161" s="16"/>
      <c r="I161" s="16"/>
      <c r="L161" s="16"/>
    </row>
    <row r="162" spans="1:12" ht="12.75" customHeight="1">
      <c r="A162" s="1" t="s">
        <v>3577</v>
      </c>
      <c r="B162" s="1">
        <v>57.15</v>
      </c>
      <c r="C162" s="7">
        <v>53.93</v>
      </c>
      <c r="D162" s="16">
        <f t="shared" si="6"/>
        <v>-5.6342957130358688E-2</v>
      </c>
      <c r="E162" s="9">
        <v>52.21</v>
      </c>
      <c r="F162" s="16">
        <f t="shared" si="7"/>
        <v>3.2943880482666131E-2</v>
      </c>
      <c r="G162" s="40"/>
      <c r="H162" s="16"/>
      <c r="I162" s="16"/>
      <c r="L162" s="16"/>
    </row>
    <row r="163" spans="1:12" ht="12.75" customHeight="1">
      <c r="A163" s="1" t="s">
        <v>3579</v>
      </c>
      <c r="B163" s="1">
        <v>57.27</v>
      </c>
      <c r="C163" s="7">
        <v>53.93</v>
      </c>
      <c r="D163" s="16">
        <f t="shared" si="6"/>
        <v>-5.8320237471625687E-2</v>
      </c>
      <c r="E163" s="9">
        <v>52.21</v>
      </c>
      <c r="F163" s="16">
        <f t="shared" si="7"/>
        <v>3.2943880482666131E-2</v>
      </c>
      <c r="G163" s="40"/>
      <c r="H163" s="16"/>
      <c r="I163" s="16"/>
      <c r="L163" s="16"/>
    </row>
    <row r="164" spans="1:12" ht="12.75" customHeight="1">
      <c r="A164" s="1" t="s">
        <v>3580</v>
      </c>
      <c r="B164" s="1">
        <v>57.37</v>
      </c>
      <c r="C164" s="7">
        <v>53.93</v>
      </c>
      <c r="D164" s="16">
        <f t="shared" si="6"/>
        <v>-5.9961652431584418E-2</v>
      </c>
      <c r="E164" s="9">
        <v>52.21</v>
      </c>
      <c r="F164" s="16">
        <f t="shared" si="7"/>
        <v>3.2943880482666131E-2</v>
      </c>
      <c r="G164" s="40"/>
      <c r="H164" s="16"/>
      <c r="I164" s="16"/>
      <c r="L164" s="16"/>
    </row>
    <row r="165" spans="1:12" ht="12.75" customHeight="1">
      <c r="A165" s="1" t="s">
        <v>3593</v>
      </c>
      <c r="B165" s="1">
        <v>57.4</v>
      </c>
      <c r="C165" s="7">
        <v>53.93</v>
      </c>
      <c r="D165" s="16">
        <f t="shared" si="6"/>
        <v>-6.0452961672473847E-2</v>
      </c>
      <c r="E165" s="9">
        <v>52.21</v>
      </c>
      <c r="F165" s="16">
        <f t="shared" si="7"/>
        <v>3.2943880482666131E-2</v>
      </c>
      <c r="G165" s="40"/>
      <c r="H165" s="16"/>
      <c r="I165" s="16"/>
      <c r="L165" s="16"/>
    </row>
    <row r="166" spans="1:12" ht="12.75" customHeight="1">
      <c r="A166" s="1" t="s">
        <v>3594</v>
      </c>
      <c r="B166" s="1">
        <v>57.77</v>
      </c>
      <c r="C166" s="7">
        <v>53.93</v>
      </c>
      <c r="D166" s="16">
        <f t="shared" si="6"/>
        <v>-6.647048641163239E-2</v>
      </c>
      <c r="E166" s="9">
        <v>52.21</v>
      </c>
      <c r="F166" s="16">
        <f t="shared" si="7"/>
        <v>3.2943880482666131E-2</v>
      </c>
      <c r="G166" s="40"/>
      <c r="H166" s="16"/>
      <c r="I166" s="16"/>
      <c r="L166" s="16"/>
    </row>
    <row r="167" spans="1:12" ht="12.75" customHeight="1">
      <c r="A167" s="1" t="s">
        <v>3595</v>
      </c>
      <c r="B167" s="1">
        <v>57.9</v>
      </c>
      <c r="C167" s="7">
        <v>53.93</v>
      </c>
      <c r="D167" s="16">
        <f t="shared" si="6"/>
        <v>-6.8566493955094968E-2</v>
      </c>
      <c r="E167" s="9">
        <v>52.21</v>
      </c>
      <c r="F167" s="16">
        <f t="shared" si="7"/>
        <v>3.2943880482666131E-2</v>
      </c>
      <c r="G167" s="40"/>
      <c r="H167" s="16"/>
      <c r="I167" s="16"/>
      <c r="L167" s="16"/>
    </row>
    <row r="168" spans="1:12" ht="12.75" customHeight="1">
      <c r="A168" s="1" t="s">
        <v>3596</v>
      </c>
      <c r="B168" s="1">
        <v>58.4</v>
      </c>
      <c r="C168" s="7">
        <v>53.93</v>
      </c>
      <c r="D168" s="16">
        <f t="shared" si="6"/>
        <v>-7.6541095890410943E-2</v>
      </c>
      <c r="E168" s="9">
        <v>52.21</v>
      </c>
      <c r="F168" s="16">
        <f t="shared" si="7"/>
        <v>3.2943880482666131E-2</v>
      </c>
      <c r="G168" s="40"/>
      <c r="H168" s="16"/>
      <c r="I168" s="16"/>
      <c r="L168" s="16"/>
    </row>
    <row r="169" spans="1:12">
      <c r="A169" s="1"/>
      <c r="B169" s="7"/>
      <c r="C169" s="7"/>
      <c r="D169" s="16"/>
      <c r="E169" s="9"/>
      <c r="F169" s="16"/>
      <c r="G169" s="40"/>
      <c r="H169" s="16"/>
      <c r="I169" s="16"/>
      <c r="L169" s="16"/>
    </row>
    <row r="170" spans="1:12">
      <c r="A170" s="1"/>
      <c r="B170" s="7"/>
      <c r="C170" s="7"/>
      <c r="D170" s="16"/>
      <c r="E170" s="9"/>
      <c r="F170" s="16"/>
      <c r="G170" s="40"/>
      <c r="H170" s="16"/>
      <c r="I170" s="16"/>
      <c r="L170" s="16"/>
    </row>
    <row r="171" spans="1:12" ht="12.75" customHeight="1">
      <c r="A171" s="2" t="s">
        <v>3865</v>
      </c>
      <c r="B171" s="10"/>
      <c r="C171" s="10"/>
      <c r="D171" s="16"/>
      <c r="E171" s="9"/>
      <c r="F171" s="16"/>
      <c r="G171" s="40"/>
      <c r="H171" s="16"/>
      <c r="I171" s="16"/>
      <c r="L171" s="16"/>
    </row>
    <row r="172" spans="1:12">
      <c r="A172" s="3" t="s">
        <v>3569</v>
      </c>
      <c r="B172" s="7"/>
      <c r="C172" s="7"/>
      <c r="D172" s="16"/>
      <c r="E172" s="9"/>
      <c r="F172" s="16"/>
      <c r="G172" s="40"/>
      <c r="H172" s="16"/>
      <c r="I172" s="16"/>
      <c r="L172" s="16"/>
    </row>
    <row r="173" spans="1:12" ht="12.75" customHeight="1">
      <c r="A173" s="1" t="s">
        <v>3573</v>
      </c>
      <c r="B173" s="7">
        <v>44.82</v>
      </c>
      <c r="C173" s="7">
        <v>53.93</v>
      </c>
      <c r="D173" s="16">
        <f t="shared" ref="D173:D181" si="8">(C173-B173)/B173</f>
        <v>0.20325747434181168</v>
      </c>
      <c r="E173" s="9">
        <v>52.21</v>
      </c>
      <c r="F173" s="16">
        <f t="shared" ref="F173:F181" si="9">(C173-E173)/E173</f>
        <v>3.2943880482666131E-2</v>
      </c>
      <c r="G173" s="40"/>
      <c r="H173" s="16"/>
      <c r="I173" s="16"/>
      <c r="L173" s="16"/>
    </row>
    <row r="174" spans="1:12" ht="12.75" customHeight="1">
      <c r="A174" s="1" t="s">
        <v>3575</v>
      </c>
      <c r="B174" s="7">
        <v>44.82</v>
      </c>
      <c r="C174" s="7">
        <v>53.93</v>
      </c>
      <c r="D174" s="16">
        <f t="shared" si="8"/>
        <v>0.20325747434181168</v>
      </c>
      <c r="E174" s="9">
        <v>52.21</v>
      </c>
      <c r="F174" s="16">
        <f t="shared" si="9"/>
        <v>3.2943880482666131E-2</v>
      </c>
      <c r="G174" s="40"/>
      <c r="H174" s="16"/>
      <c r="I174" s="16"/>
      <c r="L174" s="16"/>
    </row>
    <row r="175" spans="1:12" ht="12.75" customHeight="1">
      <c r="A175" s="1" t="s">
        <v>3576</v>
      </c>
      <c r="B175" s="7">
        <v>44.82</v>
      </c>
      <c r="C175" s="7">
        <v>53.93</v>
      </c>
      <c r="D175" s="16">
        <f t="shared" si="8"/>
        <v>0.20325747434181168</v>
      </c>
      <c r="E175" s="9">
        <v>52.21</v>
      </c>
      <c r="F175" s="16">
        <f t="shared" si="9"/>
        <v>3.2943880482666131E-2</v>
      </c>
      <c r="G175" s="40"/>
      <c r="H175" s="16"/>
      <c r="I175" s="16"/>
      <c r="L175" s="16"/>
    </row>
    <row r="176" spans="1:12" ht="12.75" customHeight="1">
      <c r="A176" s="1" t="s">
        <v>3577</v>
      </c>
      <c r="B176" s="7">
        <v>44.82</v>
      </c>
      <c r="C176" s="7">
        <v>53.93</v>
      </c>
      <c r="D176" s="16">
        <f t="shared" si="8"/>
        <v>0.20325747434181168</v>
      </c>
      <c r="E176" s="9">
        <v>52.21</v>
      </c>
      <c r="F176" s="16">
        <f t="shared" si="9"/>
        <v>3.2943880482666131E-2</v>
      </c>
      <c r="G176" s="40"/>
      <c r="H176" s="16"/>
      <c r="I176" s="16"/>
      <c r="L176" s="16"/>
    </row>
    <row r="177" spans="1:12" ht="12.75" customHeight="1">
      <c r="A177" s="1" t="s">
        <v>3579</v>
      </c>
      <c r="B177" s="7">
        <v>44.82</v>
      </c>
      <c r="C177" s="7">
        <v>53.93</v>
      </c>
      <c r="D177" s="16">
        <f t="shared" si="8"/>
        <v>0.20325747434181168</v>
      </c>
      <c r="E177" s="9">
        <v>52.21</v>
      </c>
      <c r="F177" s="16">
        <f t="shared" si="9"/>
        <v>3.2943880482666131E-2</v>
      </c>
      <c r="G177" s="40"/>
      <c r="H177" s="16"/>
      <c r="I177" s="16"/>
      <c r="L177" s="16"/>
    </row>
    <row r="178" spans="1:12" ht="12.75" customHeight="1">
      <c r="A178" s="1" t="s">
        <v>3580</v>
      </c>
      <c r="B178" s="7">
        <v>44.82</v>
      </c>
      <c r="C178" s="7">
        <v>53.93</v>
      </c>
      <c r="D178" s="16">
        <f t="shared" si="8"/>
        <v>0.20325747434181168</v>
      </c>
      <c r="E178" s="9">
        <v>52.21</v>
      </c>
      <c r="F178" s="16">
        <f t="shared" si="9"/>
        <v>3.2943880482666131E-2</v>
      </c>
      <c r="G178" s="40"/>
      <c r="H178" s="16"/>
      <c r="I178" s="16"/>
      <c r="L178" s="16"/>
    </row>
    <row r="179" spans="1:12" ht="12.75" customHeight="1">
      <c r="A179" s="1" t="s">
        <v>3593</v>
      </c>
      <c r="B179" s="7">
        <v>44.82</v>
      </c>
      <c r="C179" s="7">
        <v>53.93</v>
      </c>
      <c r="D179" s="16">
        <f t="shared" si="8"/>
        <v>0.20325747434181168</v>
      </c>
      <c r="E179" s="9">
        <v>52.21</v>
      </c>
      <c r="F179" s="16">
        <f t="shared" si="9"/>
        <v>3.2943880482666131E-2</v>
      </c>
      <c r="G179" s="40"/>
      <c r="H179" s="16"/>
      <c r="I179" s="16"/>
      <c r="L179" s="16"/>
    </row>
    <row r="180" spans="1:12" ht="12.75" customHeight="1">
      <c r="A180" s="1" t="s">
        <v>3594</v>
      </c>
      <c r="B180" s="7">
        <v>44.82</v>
      </c>
      <c r="C180" s="7">
        <v>53.93</v>
      </c>
      <c r="D180" s="16">
        <f t="shared" si="8"/>
        <v>0.20325747434181168</v>
      </c>
      <c r="E180" s="9">
        <v>52.21</v>
      </c>
      <c r="F180" s="16">
        <f t="shared" si="9"/>
        <v>3.2943880482666131E-2</v>
      </c>
      <c r="G180" s="40"/>
      <c r="H180" s="16"/>
      <c r="I180" s="16"/>
      <c r="L180" s="16"/>
    </row>
    <row r="181" spans="1:12" ht="12.75" customHeight="1">
      <c r="A181" s="1" t="s">
        <v>3595</v>
      </c>
      <c r="B181" s="7">
        <v>44.82</v>
      </c>
      <c r="C181" s="7">
        <v>53.93</v>
      </c>
      <c r="D181" s="16">
        <f t="shared" si="8"/>
        <v>0.20325747434181168</v>
      </c>
      <c r="E181" s="9">
        <v>52.21</v>
      </c>
      <c r="F181" s="16">
        <f t="shared" si="9"/>
        <v>3.2943880482666131E-2</v>
      </c>
      <c r="G181" s="40"/>
      <c r="H181" s="16"/>
      <c r="I181" s="16"/>
      <c r="L181" s="16"/>
    </row>
    <row r="182" spans="1:12" ht="12.75" customHeight="1">
      <c r="A182" s="1"/>
      <c r="B182" s="7"/>
      <c r="C182" s="7"/>
      <c r="D182" s="16"/>
      <c r="E182" s="9"/>
      <c r="F182" s="16"/>
      <c r="G182" s="40"/>
      <c r="H182" s="16"/>
      <c r="I182" s="16"/>
      <c r="L182" s="16"/>
    </row>
    <row r="183" spans="1:12">
      <c r="A183" s="2" t="s">
        <v>3866</v>
      </c>
      <c r="B183" s="7"/>
      <c r="C183" s="31" t="s">
        <v>3981</v>
      </c>
      <c r="D183" s="43"/>
      <c r="E183" s="44"/>
      <c r="F183" s="43"/>
      <c r="G183" s="23" t="s">
        <v>3983</v>
      </c>
      <c r="H183" s="43"/>
      <c r="I183" s="43"/>
      <c r="J183" s="8"/>
      <c r="K183" s="8"/>
      <c r="L183" s="43"/>
    </row>
    <row r="184" spans="1:12" ht="12.75" customHeight="1">
      <c r="A184" s="1" t="s">
        <v>3867</v>
      </c>
      <c r="B184" s="7">
        <v>46.23</v>
      </c>
      <c r="C184" s="7">
        <v>46.64</v>
      </c>
      <c r="D184" s="16">
        <f>(C184-B184)/B184</f>
        <v>8.8686999783691052E-3</v>
      </c>
      <c r="E184" s="9">
        <v>46.47</v>
      </c>
      <c r="F184" s="16">
        <f>(C184-E184)/E184</f>
        <v>3.6582741553690921E-3</v>
      </c>
      <c r="G184" s="40"/>
      <c r="H184" s="16"/>
      <c r="I184" s="16"/>
      <c r="L184" s="16"/>
    </row>
    <row r="185" spans="1:12" ht="12.75" customHeight="1">
      <c r="A185" s="1" t="s">
        <v>3868</v>
      </c>
      <c r="B185" s="7">
        <v>49.35</v>
      </c>
      <c r="C185" s="7">
        <v>49.76</v>
      </c>
      <c r="D185" s="16">
        <f>(C185-B185)/B185</f>
        <v>8.3080040526848347E-3</v>
      </c>
      <c r="E185" s="9">
        <v>46.47</v>
      </c>
      <c r="F185" s="16">
        <f>(C185-E185)/E185</f>
        <v>7.0798364536259942E-2</v>
      </c>
      <c r="G185" s="40"/>
      <c r="H185" s="16"/>
      <c r="I185" s="16"/>
      <c r="L185" s="16"/>
    </row>
    <row r="186" spans="1:12">
      <c r="A186" s="1"/>
      <c r="B186" s="7"/>
      <c r="C186" s="7"/>
      <c r="D186" s="16"/>
      <c r="E186" s="9"/>
      <c r="F186" s="16"/>
      <c r="G186" s="40"/>
      <c r="H186" s="16"/>
      <c r="I186" s="16"/>
      <c r="L186" s="16"/>
    </row>
    <row r="187" spans="1:12" ht="12.75" customHeight="1">
      <c r="A187" s="2" t="s">
        <v>3626</v>
      </c>
      <c r="B187" s="10"/>
      <c r="C187" s="10"/>
      <c r="D187" s="16"/>
      <c r="E187" s="9"/>
      <c r="F187" s="16"/>
      <c r="G187" s="40"/>
      <c r="H187" s="16"/>
      <c r="I187" s="16"/>
      <c r="L187" s="16"/>
    </row>
    <row r="188" spans="1:12" ht="12.75" customHeight="1">
      <c r="A188" s="1" t="s">
        <v>3869</v>
      </c>
      <c r="B188" s="7">
        <v>58.47</v>
      </c>
      <c r="C188" s="7">
        <v>58.47</v>
      </c>
      <c r="D188" s="16">
        <f t="shared" ref="D188:D193" si="10">(C188-B188)/B188</f>
        <v>0</v>
      </c>
      <c r="E188" s="9"/>
      <c r="F188" s="16"/>
      <c r="G188" s="40"/>
      <c r="H188" s="16"/>
      <c r="I188" s="16"/>
      <c r="L188" s="16"/>
    </row>
    <row r="189" spans="1:12" ht="12.75" customHeight="1">
      <c r="A189" s="1" t="s">
        <v>3870</v>
      </c>
      <c r="B189" s="7">
        <v>58.47</v>
      </c>
      <c r="C189" s="7">
        <v>58.47</v>
      </c>
      <c r="D189" s="16">
        <f t="shared" si="10"/>
        <v>0</v>
      </c>
      <c r="E189" s="9"/>
      <c r="F189" s="16"/>
      <c r="G189" s="40"/>
      <c r="H189" s="16"/>
      <c r="I189" s="16"/>
      <c r="L189" s="16"/>
    </row>
    <row r="190" spans="1:12" ht="12.75" customHeight="1">
      <c r="A190" s="1" t="s">
        <v>3628</v>
      </c>
      <c r="B190" s="7">
        <v>62.05</v>
      </c>
      <c r="C190" s="7">
        <v>62.05</v>
      </c>
      <c r="D190" s="16">
        <f t="shared" si="10"/>
        <v>0</v>
      </c>
      <c r="E190" s="9"/>
      <c r="F190" s="16"/>
      <c r="G190" s="40"/>
      <c r="H190" s="16"/>
      <c r="I190" s="16"/>
      <c r="L190" s="16"/>
    </row>
    <row r="191" spans="1:12" ht="12.75" customHeight="1">
      <c r="A191" s="1" t="s">
        <v>3871</v>
      </c>
      <c r="B191" s="7">
        <v>58.47</v>
      </c>
      <c r="C191" s="7">
        <v>58.47</v>
      </c>
      <c r="D191" s="16">
        <f t="shared" si="10"/>
        <v>0</v>
      </c>
      <c r="E191" s="9"/>
      <c r="F191" s="16"/>
      <c r="G191" s="40"/>
      <c r="H191" s="16"/>
      <c r="I191" s="16"/>
      <c r="L191" s="16"/>
    </row>
    <row r="192" spans="1:12" ht="12.75" customHeight="1">
      <c r="A192" s="1" t="s">
        <v>3872</v>
      </c>
      <c r="B192" s="7">
        <v>58.47</v>
      </c>
      <c r="C192" s="7">
        <v>58.47</v>
      </c>
      <c r="D192" s="16">
        <f t="shared" si="10"/>
        <v>0</v>
      </c>
      <c r="E192" s="9"/>
      <c r="F192" s="16"/>
      <c r="G192" s="40"/>
      <c r="H192" s="16"/>
      <c r="I192" s="16"/>
      <c r="L192" s="16"/>
    </row>
    <row r="193" spans="1:12" ht="12.75" customHeight="1">
      <c r="A193" s="1" t="s">
        <v>3873</v>
      </c>
      <c r="B193" s="7">
        <v>58.47</v>
      </c>
      <c r="C193" s="7">
        <v>58.47</v>
      </c>
      <c r="D193" s="16">
        <f t="shared" si="10"/>
        <v>0</v>
      </c>
      <c r="E193" s="9"/>
      <c r="F193" s="16"/>
      <c r="G193" s="40"/>
      <c r="H193" s="16"/>
      <c r="I193" s="16"/>
      <c r="L193" s="16"/>
    </row>
    <row r="194" spans="1:12">
      <c r="A194" s="1"/>
      <c r="B194" s="7"/>
      <c r="C194" s="7"/>
      <c r="D194" s="16"/>
      <c r="E194" s="9"/>
      <c r="F194" s="16"/>
      <c r="G194" s="40"/>
      <c r="H194" s="16"/>
      <c r="I194" s="16"/>
      <c r="L194" s="16"/>
    </row>
    <row r="195" spans="1:12" ht="12.75" customHeight="1">
      <c r="A195" s="2" t="s">
        <v>3874</v>
      </c>
      <c r="B195" s="12" t="s">
        <v>3510</v>
      </c>
      <c r="C195" s="31" t="s">
        <v>3981</v>
      </c>
      <c r="D195" s="43"/>
      <c r="E195" s="44"/>
      <c r="F195" s="43"/>
      <c r="G195" s="23" t="s">
        <v>3983</v>
      </c>
      <c r="H195" s="43">
        <f>AVERAGE(F196)</f>
        <v>-1.3407821229050787E-3</v>
      </c>
      <c r="I195" s="43"/>
      <c r="J195" s="8"/>
      <c r="K195" s="8"/>
      <c r="L195" s="43"/>
    </row>
    <row r="196" spans="1:12" ht="12.75" customHeight="1">
      <c r="A196" s="1" t="s">
        <v>3694</v>
      </c>
      <c r="B196" s="7">
        <v>44.69</v>
      </c>
      <c r="C196" s="7">
        <v>44.69</v>
      </c>
      <c r="D196" s="16">
        <f>(C196-B196)/B196</f>
        <v>0</v>
      </c>
      <c r="E196" s="9">
        <v>44.75</v>
      </c>
      <c r="F196" s="16">
        <f>(C196-E196)/E196</f>
        <v>-1.3407821229050787E-3</v>
      </c>
      <c r="G196" s="40"/>
      <c r="H196" s="16"/>
      <c r="I196" s="16"/>
      <c r="L196" s="16"/>
    </row>
    <row r="197" spans="1:12">
      <c r="A197" s="1"/>
      <c r="B197" s="7"/>
      <c r="C197" s="7"/>
      <c r="D197" s="16"/>
      <c r="E197" s="9"/>
      <c r="F197" s="16"/>
      <c r="G197" s="40"/>
      <c r="H197" s="16"/>
      <c r="I197" s="16"/>
      <c r="L197" s="16"/>
    </row>
    <row r="198" spans="1:12" ht="12.75" customHeight="1">
      <c r="A198" s="2" t="s">
        <v>3632</v>
      </c>
      <c r="B198" s="11" t="s">
        <v>3534</v>
      </c>
      <c r="C198" s="31" t="s">
        <v>3981</v>
      </c>
      <c r="D198" s="43"/>
      <c r="E198" s="44"/>
      <c r="F198" s="43"/>
      <c r="G198" s="23" t="s">
        <v>3983</v>
      </c>
      <c r="H198" s="43">
        <f>AVERAGE(F199:F201)</f>
        <v>8.4156341653199365E-2</v>
      </c>
      <c r="I198" s="43"/>
      <c r="J198" s="8"/>
      <c r="K198" s="8"/>
      <c r="L198" s="43"/>
    </row>
    <row r="199" spans="1:12" ht="12.75" customHeight="1">
      <c r="A199" s="1" t="s">
        <v>3876</v>
      </c>
      <c r="B199" s="7">
        <v>56.02</v>
      </c>
      <c r="C199" s="7">
        <v>56.52</v>
      </c>
      <c r="D199" s="16">
        <f>(C199-B199)/B199</f>
        <v>8.9253837915030335E-3</v>
      </c>
      <c r="E199" s="9">
        <v>55.69</v>
      </c>
      <c r="F199" s="16">
        <f>(C199-E199)/E199</f>
        <v>1.4903932483390293E-2</v>
      </c>
      <c r="G199" s="40"/>
      <c r="H199" s="16"/>
      <c r="I199" s="16"/>
      <c r="L199" s="16"/>
    </row>
    <row r="200" spans="1:12" ht="12.75" customHeight="1">
      <c r="A200" s="1" t="s">
        <v>3634</v>
      </c>
      <c r="B200" s="7">
        <v>59.83</v>
      </c>
      <c r="C200" s="7">
        <v>60.38</v>
      </c>
      <c r="D200" s="16">
        <f>(C200-B200)/B200</f>
        <v>9.1927126859435784E-3</v>
      </c>
      <c r="E200" s="9">
        <v>55.69</v>
      </c>
      <c r="F200" s="16">
        <f>(C200-E200)/E200</f>
        <v>8.4216196803735058E-2</v>
      </c>
      <c r="G200" s="40"/>
      <c r="H200" s="16"/>
      <c r="I200" s="16"/>
      <c r="L200" s="16"/>
    </row>
    <row r="201" spans="1:12" ht="12.75" customHeight="1">
      <c r="A201" s="1" t="s">
        <v>3635</v>
      </c>
      <c r="B201" s="7">
        <v>63.65</v>
      </c>
      <c r="C201" s="7">
        <v>64.23</v>
      </c>
      <c r="D201" s="16">
        <f>(C201-B201)/B201</f>
        <v>9.1123330714847663E-3</v>
      </c>
      <c r="E201" s="9">
        <v>55.69</v>
      </c>
      <c r="F201" s="16">
        <f>(C201-E201)/E201</f>
        <v>0.15334889567247273</v>
      </c>
      <c r="G201" s="40"/>
      <c r="H201" s="16"/>
      <c r="I201" s="16"/>
      <c r="L201" s="16"/>
    </row>
    <row r="202" spans="1:12">
      <c r="A202" s="1"/>
      <c r="B202" s="7"/>
      <c r="C202" s="7"/>
      <c r="D202" s="16"/>
      <c r="E202" s="9"/>
      <c r="F202" s="16"/>
      <c r="G202" s="40"/>
      <c r="H202" s="16"/>
      <c r="I202" s="16"/>
      <c r="L202" s="16"/>
    </row>
    <row r="203" spans="1:12">
      <c r="A203" s="2" t="s">
        <v>3636</v>
      </c>
      <c r="B203" s="7"/>
      <c r="C203" s="31" t="s">
        <v>3981</v>
      </c>
      <c r="D203" s="43"/>
      <c r="E203" s="44"/>
      <c r="F203" s="43"/>
      <c r="G203" s="23" t="s">
        <v>3984</v>
      </c>
      <c r="H203" s="43"/>
      <c r="I203" s="43">
        <f>AVERAGE(F204:F206)</f>
        <v>0</v>
      </c>
      <c r="J203" s="8"/>
      <c r="K203" s="8"/>
      <c r="L203" s="43"/>
    </row>
    <row r="204" spans="1:12" ht="12.75" customHeight="1">
      <c r="A204" s="1" t="s">
        <v>3637</v>
      </c>
      <c r="B204" s="7">
        <v>36.24</v>
      </c>
      <c r="C204" s="7">
        <v>35.17</v>
      </c>
      <c r="D204" s="16">
        <f>(C204-B204)/B204</f>
        <v>-2.9525386313465789E-2</v>
      </c>
      <c r="E204" s="9">
        <v>35.17</v>
      </c>
      <c r="F204" s="16">
        <f>(C204-E204)/E204</f>
        <v>0</v>
      </c>
      <c r="G204" s="40"/>
      <c r="H204" s="16"/>
      <c r="I204" s="16"/>
      <c r="L204" s="16"/>
    </row>
    <row r="205" spans="1:12" ht="12.75" customHeight="1">
      <c r="A205" s="1" t="s">
        <v>3877</v>
      </c>
      <c r="B205" s="7">
        <v>36.24</v>
      </c>
      <c r="C205" s="7">
        <v>35.17</v>
      </c>
      <c r="D205" s="16">
        <f>(C205-B205)/B205</f>
        <v>-2.9525386313465789E-2</v>
      </c>
      <c r="E205" s="9">
        <v>35.17</v>
      </c>
      <c r="F205" s="16">
        <f>(C205-E205)/E205</f>
        <v>0</v>
      </c>
      <c r="G205" s="40"/>
      <c r="H205" s="16"/>
      <c r="I205" s="16"/>
      <c r="L205" s="16"/>
    </row>
    <row r="206" spans="1:12" ht="12.75" customHeight="1">
      <c r="A206" s="1" t="s">
        <v>3878</v>
      </c>
      <c r="B206" s="7">
        <v>36.24</v>
      </c>
      <c r="C206" s="7">
        <v>35.17</v>
      </c>
      <c r="D206" s="16">
        <f>(C206-B206)/B206</f>
        <v>-2.9525386313465789E-2</v>
      </c>
      <c r="E206" s="9">
        <v>35.17</v>
      </c>
      <c r="F206" s="16">
        <f>(C206-E206)/E206</f>
        <v>0</v>
      </c>
      <c r="G206" s="40"/>
      <c r="H206" s="16"/>
      <c r="I206" s="16"/>
      <c r="L206" s="16"/>
    </row>
    <row r="207" spans="1:12">
      <c r="A207" s="1"/>
      <c r="B207" s="7"/>
      <c r="C207" s="7"/>
      <c r="D207" s="16"/>
      <c r="E207" s="9"/>
      <c r="F207" s="16"/>
      <c r="G207" s="40"/>
      <c r="H207" s="16"/>
      <c r="I207" s="16"/>
      <c r="L207" s="16"/>
    </row>
    <row r="208" spans="1:12">
      <c r="A208" s="2" t="s">
        <v>3879</v>
      </c>
      <c r="B208" s="11" t="s">
        <v>3534</v>
      </c>
      <c r="C208" s="31" t="s">
        <v>3981</v>
      </c>
      <c r="D208" s="43"/>
      <c r="E208" s="44"/>
      <c r="F208" s="43"/>
      <c r="G208" s="23" t="s">
        <v>3983</v>
      </c>
      <c r="H208" s="43">
        <f>AVERAGE(F210:F211)</f>
        <v>8.1969792322215185E-2</v>
      </c>
      <c r="I208" s="43"/>
      <c r="J208" s="8"/>
      <c r="K208" s="8"/>
      <c r="L208" s="43"/>
    </row>
    <row r="209" spans="1:12">
      <c r="A209" s="1" t="s">
        <v>3880</v>
      </c>
      <c r="B209" s="11"/>
      <c r="C209" s="7"/>
      <c r="D209" s="16"/>
      <c r="E209" s="9"/>
      <c r="F209" s="16"/>
      <c r="G209" s="40"/>
      <c r="H209" s="16"/>
      <c r="I209" s="16"/>
      <c r="L209" s="16"/>
    </row>
    <row r="210" spans="1:12" ht="12.75" customHeight="1">
      <c r="A210" s="1" t="s">
        <v>3881</v>
      </c>
      <c r="B210" s="7">
        <v>16.04</v>
      </c>
      <c r="C210" s="7">
        <v>31.91</v>
      </c>
      <c r="D210" s="16">
        <f>(C210-B210)/B210</f>
        <v>0.9894014962593517</v>
      </c>
      <c r="E210" s="9">
        <v>31.78</v>
      </c>
      <c r="F210" s="16">
        <f>(C210-E210)/E210</f>
        <v>4.0906230333542792E-3</v>
      </c>
      <c r="G210" s="40"/>
      <c r="H210" s="16"/>
      <c r="I210" s="16"/>
      <c r="L210" s="16"/>
    </row>
    <row r="211" spans="1:12" ht="12.75" customHeight="1">
      <c r="A211" s="1" t="s">
        <v>3882</v>
      </c>
      <c r="B211" s="7">
        <v>16.04</v>
      </c>
      <c r="C211" s="7">
        <v>36.86</v>
      </c>
      <c r="D211" s="16">
        <f>(C211-B211)/B211</f>
        <v>1.2980049875311721</v>
      </c>
      <c r="E211" s="9">
        <v>31.78</v>
      </c>
      <c r="F211" s="16">
        <f>(C211-E211)/E211</f>
        <v>0.15984896161107609</v>
      </c>
      <c r="G211" s="40"/>
      <c r="H211" s="16"/>
      <c r="I211" s="16"/>
      <c r="L211" s="16"/>
    </row>
    <row r="212" spans="1:12">
      <c r="A212" s="1"/>
      <c r="B212" s="7"/>
      <c r="C212" s="7"/>
      <c r="D212" s="16"/>
      <c r="E212" s="9"/>
      <c r="F212" s="16"/>
      <c r="G212" s="40"/>
      <c r="H212" s="16"/>
      <c r="I212" s="16"/>
      <c r="L212" s="16"/>
    </row>
    <row r="213" spans="1:12" ht="12.75" customHeight="1">
      <c r="A213" s="2" t="s">
        <v>3640</v>
      </c>
      <c r="B213" s="12" t="s">
        <v>3510</v>
      </c>
      <c r="C213" s="31" t="s">
        <v>3981</v>
      </c>
      <c r="D213" s="43"/>
      <c r="E213" s="44"/>
      <c r="F213" s="43"/>
      <c r="G213" s="23" t="s">
        <v>3983</v>
      </c>
      <c r="H213" s="43">
        <f>AVERAGE(F214:F216)</f>
        <v>8.9778534923338982E-2</v>
      </c>
      <c r="I213" s="43"/>
      <c r="J213" s="8"/>
      <c r="K213" s="8"/>
      <c r="L213" s="43"/>
    </row>
    <row r="214" spans="1:12" ht="12.75" customHeight="1">
      <c r="A214" s="1" t="s">
        <v>3641</v>
      </c>
      <c r="B214" s="7">
        <v>58.52</v>
      </c>
      <c r="C214" s="7">
        <v>59.52</v>
      </c>
      <c r="D214" s="16">
        <f>(C214-B214)/B214</f>
        <v>1.7088174982911822E-2</v>
      </c>
      <c r="E214" s="9">
        <v>58.7</v>
      </c>
      <c r="F214" s="16">
        <f>(C214-E214)/E214</f>
        <v>1.3969335604770022E-2</v>
      </c>
      <c r="G214" s="40"/>
      <c r="H214" s="16"/>
      <c r="I214" s="16"/>
      <c r="L214" s="16"/>
    </row>
    <row r="215" spans="1:12" ht="12.75" customHeight="1">
      <c r="A215" s="1" t="s">
        <v>3642</v>
      </c>
      <c r="B215" s="7">
        <v>62.95</v>
      </c>
      <c r="C215" s="7">
        <v>63.97</v>
      </c>
      <c r="D215" s="16">
        <f>(C215-B215)/B215</f>
        <v>1.6203335980937188E-2</v>
      </c>
      <c r="E215" s="9">
        <v>58.7</v>
      </c>
      <c r="F215" s="16">
        <f>(C215-E215)/E215</f>
        <v>8.977853492333894E-2</v>
      </c>
      <c r="G215" s="40"/>
      <c r="H215" s="16"/>
      <c r="I215" s="16"/>
      <c r="L215" s="16"/>
    </row>
    <row r="216" spans="1:12" ht="12.75" customHeight="1">
      <c r="A216" s="1" t="s">
        <v>3643</v>
      </c>
      <c r="B216" s="7">
        <v>67.37</v>
      </c>
      <c r="C216" s="7">
        <v>68.42</v>
      </c>
      <c r="D216" s="16">
        <f>(C216-B216)/B216</f>
        <v>1.5585572213151211E-2</v>
      </c>
      <c r="E216" s="9">
        <v>58.7</v>
      </c>
      <c r="F216" s="16">
        <f>(C216-E216)/E216</f>
        <v>0.16558773424190798</v>
      </c>
      <c r="G216" s="40"/>
      <c r="H216" s="16"/>
      <c r="I216" s="16"/>
      <c r="L216" s="16"/>
    </row>
    <row r="217" spans="1:12">
      <c r="A217" s="1"/>
      <c r="B217" s="7"/>
      <c r="C217" s="7"/>
      <c r="D217" s="16"/>
      <c r="E217" s="9"/>
      <c r="F217" s="16"/>
      <c r="G217" s="40"/>
      <c r="H217" s="16"/>
      <c r="I217" s="16"/>
      <c r="L217" s="16"/>
    </row>
    <row r="218" spans="1:12">
      <c r="A218" s="2" t="s">
        <v>3644</v>
      </c>
      <c r="B218" s="7"/>
      <c r="C218" s="31" t="s">
        <v>3981</v>
      </c>
      <c r="D218" s="43"/>
      <c r="E218" s="44"/>
      <c r="F218" s="43"/>
      <c r="G218" s="23" t="s">
        <v>3983</v>
      </c>
      <c r="H218" s="43">
        <f>AVERAGE(F219:F221)</f>
        <v>0.12652254320515263</v>
      </c>
      <c r="I218" s="43"/>
      <c r="J218" s="8"/>
      <c r="K218" s="8"/>
      <c r="L218" s="43"/>
    </row>
    <row r="219" spans="1:12" ht="12.75" customHeight="1">
      <c r="A219" s="1" t="s">
        <v>3645</v>
      </c>
      <c r="B219" s="7">
        <v>55.15</v>
      </c>
      <c r="C219" s="7">
        <v>56.3</v>
      </c>
      <c r="D219" s="16">
        <f>(C219-B219)/B219</f>
        <v>2.0852221214868516E-2</v>
      </c>
      <c r="E219" s="9">
        <v>52.27</v>
      </c>
      <c r="F219" s="16">
        <f>(C219-E219)/E219</f>
        <v>7.7099674765639822E-2</v>
      </c>
      <c r="G219" s="40"/>
      <c r="H219" s="16"/>
      <c r="I219" s="16"/>
      <c r="L219" s="16"/>
    </row>
    <row r="220" spans="1:12" ht="12.75" customHeight="1">
      <c r="A220" s="1" t="s">
        <v>3646</v>
      </c>
      <c r="B220" s="7">
        <v>57.9</v>
      </c>
      <c r="C220" s="7">
        <v>59.05</v>
      </c>
      <c r="D220" s="16">
        <f>(C220-B220)/B220</f>
        <v>1.9861830742659733E-2</v>
      </c>
      <c r="E220" s="9">
        <v>52.27</v>
      </c>
      <c r="F220" s="16">
        <f>(C220-E220)/E220</f>
        <v>0.12971111536254054</v>
      </c>
      <c r="G220" s="40"/>
      <c r="H220" s="16"/>
      <c r="I220" s="16"/>
      <c r="L220" s="16"/>
    </row>
    <row r="221" spans="1:12" ht="12.75" customHeight="1">
      <c r="A221" s="1" t="s">
        <v>3647</v>
      </c>
      <c r="B221" s="7">
        <v>60.15</v>
      </c>
      <c r="C221" s="7">
        <v>61.3</v>
      </c>
      <c r="D221" s="16">
        <f>(C221-B221)/B221</f>
        <v>1.9118869492934308E-2</v>
      </c>
      <c r="E221" s="9">
        <v>52.27</v>
      </c>
      <c r="F221" s="16">
        <f>(C221-E221)/E221</f>
        <v>0.17275683948727746</v>
      </c>
      <c r="G221" s="40"/>
      <c r="H221" s="16"/>
      <c r="I221" s="16"/>
      <c r="L221" s="16"/>
    </row>
    <row r="222" spans="1:12">
      <c r="A222" s="1"/>
      <c r="B222" s="7"/>
      <c r="C222" s="7"/>
      <c r="D222" s="16"/>
      <c r="E222" s="9"/>
      <c r="F222" s="16"/>
      <c r="G222" s="40"/>
      <c r="H222" s="16"/>
      <c r="I222" s="16"/>
      <c r="L222" s="16"/>
    </row>
    <row r="223" spans="1:12">
      <c r="A223" s="1"/>
      <c r="B223" s="7"/>
      <c r="C223" s="7"/>
      <c r="D223" s="16"/>
      <c r="E223" s="9"/>
      <c r="F223" s="16"/>
      <c r="G223" s="40"/>
      <c r="H223" s="16"/>
      <c r="I223" s="16"/>
      <c r="L223" s="16"/>
    </row>
    <row r="224" spans="1:12">
      <c r="A224" s="2" t="s">
        <v>3651</v>
      </c>
      <c r="B224" s="7"/>
      <c r="C224" s="31" t="s">
        <v>3981</v>
      </c>
      <c r="D224" s="43"/>
      <c r="E224" s="44"/>
      <c r="F224" s="43"/>
      <c r="G224" s="23" t="s">
        <v>3983</v>
      </c>
      <c r="H224" s="43">
        <f>AVERAGE(F225)</f>
        <v>-1.499472016895461E-2</v>
      </c>
      <c r="I224" s="43"/>
      <c r="J224" s="8"/>
      <c r="K224" s="8"/>
      <c r="L224" s="43"/>
    </row>
    <row r="225" spans="1:12" ht="12.75" customHeight="1">
      <c r="A225" s="1" t="s">
        <v>3652</v>
      </c>
      <c r="B225" s="7">
        <v>46.23</v>
      </c>
      <c r="C225" s="7">
        <v>46.64</v>
      </c>
      <c r="D225" s="16">
        <f>(C225-B225)/B225</f>
        <v>8.8686999783691052E-3</v>
      </c>
      <c r="E225" s="9">
        <v>47.35</v>
      </c>
      <c r="F225" s="16">
        <f>(C225-E225)/E225</f>
        <v>-1.499472016895461E-2</v>
      </c>
      <c r="G225" s="40"/>
      <c r="H225" s="16"/>
      <c r="I225" s="16"/>
      <c r="L225" s="16"/>
    </row>
    <row r="226" spans="1:12">
      <c r="A226" s="1"/>
      <c r="B226" s="7"/>
      <c r="C226" s="7"/>
      <c r="D226" s="16"/>
      <c r="E226" s="9"/>
      <c r="F226" s="16"/>
      <c r="G226" s="40"/>
      <c r="H226" s="16"/>
      <c r="I226" s="16"/>
      <c r="L226" s="16"/>
    </row>
    <row r="227" spans="1:12" ht="12.75" customHeight="1">
      <c r="A227" s="2" t="s">
        <v>3883</v>
      </c>
      <c r="B227" s="12" t="s">
        <v>3510</v>
      </c>
      <c r="C227" s="31" t="s">
        <v>3981</v>
      </c>
      <c r="D227" s="43"/>
      <c r="E227" s="44"/>
      <c r="F227" s="43"/>
      <c r="G227" s="23" t="s">
        <v>3983</v>
      </c>
      <c r="H227" s="43">
        <f>AVERAGE(F228:F230)</f>
        <v>-3.1974872754762566E-2</v>
      </c>
      <c r="I227" s="43"/>
      <c r="J227" s="8"/>
      <c r="K227" s="8"/>
      <c r="L227" s="43"/>
    </row>
    <row r="228" spans="1:12" ht="12.75" customHeight="1">
      <c r="A228" s="1" t="s">
        <v>3884</v>
      </c>
      <c r="B228" s="7">
        <v>32.479999999999997</v>
      </c>
      <c r="C228" s="7">
        <v>34.630000000000003</v>
      </c>
      <c r="D228" s="16">
        <f>(C228-B228)/B228</f>
        <v>6.6194581280788353E-2</v>
      </c>
      <c r="E228" s="9">
        <v>36.35</v>
      </c>
      <c r="F228" s="16">
        <f>(C228-E228)/E228</f>
        <v>-4.7317744154057741E-2</v>
      </c>
      <c r="G228" s="40"/>
      <c r="H228" s="16"/>
      <c r="I228" s="16"/>
      <c r="L228" s="16"/>
    </row>
    <row r="229" spans="1:12" ht="12.75" customHeight="1">
      <c r="A229" s="1" t="s">
        <v>3885</v>
      </c>
      <c r="B229" s="7">
        <v>43.61</v>
      </c>
      <c r="C229" s="7">
        <v>46.66</v>
      </c>
      <c r="D229" s="16">
        <f>(C229-B229)/B229</f>
        <v>6.9938087594588333E-2</v>
      </c>
      <c r="E229" s="9">
        <v>49.17</v>
      </c>
      <c r="F229" s="16">
        <f>(C229-E229)/E229</f>
        <v>-5.1047386617856516E-2</v>
      </c>
      <c r="G229" s="40" t="s">
        <v>3983</v>
      </c>
      <c r="H229" s="16"/>
      <c r="I229" s="16"/>
      <c r="L229" s="16"/>
    </row>
    <row r="230" spans="1:12" ht="12.75" customHeight="1">
      <c r="A230" s="1" t="s">
        <v>3886</v>
      </c>
      <c r="B230" s="7">
        <v>46.04</v>
      </c>
      <c r="C230" s="7">
        <v>49.29</v>
      </c>
      <c r="D230" s="16">
        <f>(C230-B230)/B230</f>
        <v>7.0590790616854915E-2</v>
      </c>
      <c r="E230" s="9">
        <v>49.17</v>
      </c>
      <c r="F230" s="16">
        <f>(C230-E230)/E230</f>
        <v>2.4405125076265495E-3</v>
      </c>
      <c r="G230" s="40"/>
      <c r="H230" s="16"/>
      <c r="I230" s="16"/>
      <c r="L230" s="16"/>
    </row>
    <row r="231" spans="1:12">
      <c r="A231" s="1"/>
      <c r="B231" s="7"/>
      <c r="C231" s="7"/>
      <c r="D231" s="16"/>
      <c r="E231" s="9"/>
      <c r="F231" s="16"/>
      <c r="G231" s="40"/>
      <c r="H231" s="16"/>
      <c r="I231" s="16"/>
      <c r="L231" s="16"/>
    </row>
    <row r="232" spans="1:12">
      <c r="A232" s="1"/>
      <c r="B232" s="7"/>
      <c r="C232" s="7"/>
      <c r="D232" s="16"/>
      <c r="E232" s="9"/>
      <c r="F232" s="16"/>
      <c r="G232" s="40"/>
      <c r="H232" s="16"/>
      <c r="I232" s="16"/>
      <c r="L232" s="16"/>
    </row>
    <row r="233" spans="1:12" ht="12.75" customHeight="1">
      <c r="A233" s="2" t="s">
        <v>3662</v>
      </c>
      <c r="B233" s="12" t="s">
        <v>3547</v>
      </c>
      <c r="C233" s="12" t="s">
        <v>3547</v>
      </c>
      <c r="D233" s="16"/>
      <c r="E233" s="9"/>
      <c r="F233" s="16"/>
      <c r="G233" s="40"/>
      <c r="H233" s="16"/>
      <c r="I233" s="16"/>
      <c r="L233" s="16"/>
    </row>
    <row r="234" spans="1:12" ht="12.75" customHeight="1">
      <c r="A234" s="1" t="s">
        <v>3663</v>
      </c>
      <c r="B234" s="7">
        <v>42.94</v>
      </c>
      <c r="C234" s="7">
        <v>42.94</v>
      </c>
      <c r="D234" s="16">
        <f>(C234-B234)/B234</f>
        <v>0</v>
      </c>
      <c r="E234" s="9"/>
      <c r="F234" s="16"/>
      <c r="G234" s="40"/>
      <c r="H234" s="16"/>
      <c r="I234" s="16"/>
      <c r="L234" s="16"/>
    </row>
    <row r="235" spans="1:12">
      <c r="A235" s="1"/>
      <c r="B235" s="7"/>
      <c r="C235" s="7"/>
      <c r="D235" s="16"/>
      <c r="E235" s="9"/>
      <c r="F235" s="16"/>
      <c r="G235" s="40"/>
      <c r="H235" s="16"/>
      <c r="I235" s="16"/>
      <c r="L235" s="16"/>
    </row>
    <row r="236" spans="1:12" ht="12.75" customHeight="1">
      <c r="A236" s="2" t="s">
        <v>3664</v>
      </c>
      <c r="B236" s="10"/>
      <c r="C236" s="10"/>
      <c r="D236" s="16"/>
      <c r="E236" s="9"/>
      <c r="F236" s="16"/>
      <c r="G236" s="40"/>
      <c r="H236" s="16"/>
      <c r="I236" s="16"/>
      <c r="L236" s="16"/>
    </row>
    <row r="237" spans="1:12" ht="12.75" customHeight="1">
      <c r="A237" s="3" t="s">
        <v>3569</v>
      </c>
      <c r="B237" s="12" t="s">
        <v>3510</v>
      </c>
      <c r="C237" s="31" t="s">
        <v>3996</v>
      </c>
      <c r="D237" s="43"/>
      <c r="E237" s="44"/>
      <c r="F237" s="43"/>
      <c r="G237" s="23" t="s">
        <v>3983</v>
      </c>
      <c r="H237" s="43">
        <f>AVERAGE(F238:F244)</f>
        <v>0</v>
      </c>
      <c r="I237" s="43"/>
      <c r="J237" s="8"/>
      <c r="K237" s="8"/>
      <c r="L237" s="43"/>
    </row>
    <row r="238" spans="1:12" ht="12.75" customHeight="1">
      <c r="A238" s="1" t="s">
        <v>3573</v>
      </c>
      <c r="B238" s="7">
        <v>46.13</v>
      </c>
      <c r="C238" s="7">
        <v>36.9</v>
      </c>
      <c r="D238" s="16">
        <f t="shared" ref="D238:D244" si="11">(C238-B238)/B238</f>
        <v>-0.20008671146759166</v>
      </c>
      <c r="E238" s="9">
        <v>36.9</v>
      </c>
      <c r="F238" s="16">
        <f>(C238-E238)/E238</f>
        <v>0</v>
      </c>
      <c r="G238" s="40"/>
      <c r="H238" s="16"/>
      <c r="I238" s="16"/>
      <c r="L238" s="16"/>
    </row>
    <row r="239" spans="1:12" ht="12.75" customHeight="1">
      <c r="A239" s="1" t="s">
        <v>3575</v>
      </c>
      <c r="B239" s="7">
        <v>46.23</v>
      </c>
      <c r="C239" s="7">
        <v>36.9</v>
      </c>
      <c r="D239" s="16">
        <f t="shared" si="11"/>
        <v>-0.20181700194678778</v>
      </c>
      <c r="E239" s="9">
        <v>36.9</v>
      </c>
      <c r="F239" s="16">
        <f t="shared" ref="F239:F244" si="12">(C239-E239)/E239</f>
        <v>0</v>
      </c>
      <c r="G239" s="40"/>
      <c r="H239" s="16"/>
      <c r="I239" s="16"/>
      <c r="L239" s="16"/>
    </row>
    <row r="240" spans="1:12" ht="12.75" customHeight="1">
      <c r="A240" s="1" t="s">
        <v>3576</v>
      </c>
      <c r="B240" s="7">
        <v>46.44</v>
      </c>
      <c r="C240" s="7">
        <v>36.9</v>
      </c>
      <c r="D240" s="16">
        <f t="shared" si="11"/>
        <v>-0.20542635658914729</v>
      </c>
      <c r="E240" s="9">
        <v>36.9</v>
      </c>
      <c r="F240" s="16">
        <f t="shared" si="12"/>
        <v>0</v>
      </c>
      <c r="G240" s="40"/>
      <c r="H240" s="16"/>
      <c r="I240" s="16"/>
      <c r="L240" s="16"/>
    </row>
    <row r="241" spans="1:12" ht="12.75" customHeight="1">
      <c r="A241" s="1" t="s">
        <v>3577</v>
      </c>
      <c r="B241" s="7">
        <v>46.62</v>
      </c>
      <c r="C241" s="7">
        <v>36.9</v>
      </c>
      <c r="D241" s="16">
        <f t="shared" si="11"/>
        <v>-0.20849420849420849</v>
      </c>
      <c r="E241" s="9">
        <v>36.9</v>
      </c>
      <c r="F241" s="16">
        <f t="shared" si="12"/>
        <v>0</v>
      </c>
      <c r="G241" s="40"/>
      <c r="H241" s="16"/>
      <c r="I241" s="16"/>
      <c r="L241" s="16"/>
    </row>
    <row r="242" spans="1:12" ht="12.75" customHeight="1">
      <c r="A242" s="1" t="s">
        <v>3579</v>
      </c>
      <c r="B242" s="7">
        <v>46.82</v>
      </c>
      <c r="C242" s="7">
        <v>36.9</v>
      </c>
      <c r="D242" s="16">
        <f t="shared" si="11"/>
        <v>-0.21187526697992315</v>
      </c>
      <c r="E242" s="9">
        <v>36.9</v>
      </c>
      <c r="F242" s="16">
        <f t="shared" si="12"/>
        <v>0</v>
      </c>
      <c r="G242" s="40"/>
      <c r="H242" s="16"/>
      <c r="I242" s="16"/>
      <c r="L242" s="16"/>
    </row>
    <row r="243" spans="1:12" ht="12.75" customHeight="1">
      <c r="A243" s="1" t="s">
        <v>3580</v>
      </c>
      <c r="B243" s="7">
        <v>47.12</v>
      </c>
      <c r="C243" s="7">
        <v>36.9</v>
      </c>
      <c r="D243" s="16">
        <f t="shared" si="11"/>
        <v>-0.21689303904923599</v>
      </c>
      <c r="E243" s="9">
        <v>36.9</v>
      </c>
      <c r="F243" s="16">
        <f t="shared" si="12"/>
        <v>0</v>
      </c>
      <c r="G243" s="40"/>
      <c r="H243" s="16"/>
      <c r="I243" s="16"/>
      <c r="L243" s="16"/>
    </row>
    <row r="244" spans="1:12" ht="12.75" customHeight="1">
      <c r="A244" s="1" t="s">
        <v>3888</v>
      </c>
      <c r="B244" s="7">
        <v>48.12</v>
      </c>
      <c r="C244" s="7">
        <v>36.9</v>
      </c>
      <c r="D244" s="16">
        <f t="shared" si="11"/>
        <v>-0.23316708229426433</v>
      </c>
      <c r="E244" s="9">
        <v>36.9</v>
      </c>
      <c r="F244" s="16">
        <f t="shared" si="12"/>
        <v>0</v>
      </c>
      <c r="G244" s="40"/>
      <c r="H244" s="16"/>
      <c r="I244" s="16"/>
      <c r="L244" s="16"/>
    </row>
    <row r="245" spans="1:12">
      <c r="A245" s="1"/>
      <c r="B245" s="7"/>
      <c r="C245" s="7"/>
      <c r="D245" s="16"/>
      <c r="E245" s="9"/>
      <c r="F245" s="16"/>
      <c r="G245" s="40"/>
      <c r="H245" s="16"/>
      <c r="I245" s="16"/>
      <c r="L245" s="16"/>
    </row>
    <row r="246" spans="1:12" ht="25.5" customHeight="1">
      <c r="A246" s="2" t="s">
        <v>3889</v>
      </c>
      <c r="B246" s="12" t="s">
        <v>3890</v>
      </c>
      <c r="C246" s="31" t="s">
        <v>3492</v>
      </c>
      <c r="D246" s="43"/>
      <c r="E246" s="44"/>
      <c r="F246" s="43"/>
      <c r="G246" s="23" t="s">
        <v>3984</v>
      </c>
      <c r="H246" s="43"/>
      <c r="I246" s="43">
        <f>AVERAGE(F247)</f>
        <v>0</v>
      </c>
      <c r="J246" s="8"/>
      <c r="K246" s="8"/>
      <c r="L246" s="43"/>
    </row>
    <row r="247" spans="1:12" ht="12.75" customHeight="1">
      <c r="A247" s="1" t="s">
        <v>3667</v>
      </c>
      <c r="B247" s="7">
        <v>56.87</v>
      </c>
      <c r="C247" s="7">
        <v>19.420000000000002</v>
      </c>
      <c r="D247" s="16">
        <f>(C247-B247)/B247</f>
        <v>-0.65851943027958493</v>
      </c>
      <c r="E247" s="9">
        <v>19.420000000000002</v>
      </c>
      <c r="F247" s="16">
        <f>(C247-E247)/E247</f>
        <v>0</v>
      </c>
      <c r="G247" s="40"/>
      <c r="H247" s="16"/>
      <c r="I247" s="16"/>
      <c r="L247" s="16"/>
    </row>
    <row r="248" spans="1:12">
      <c r="A248" s="1"/>
      <c r="B248" s="7"/>
      <c r="C248" s="7"/>
      <c r="D248" s="16"/>
      <c r="E248" s="9"/>
      <c r="F248" s="16"/>
      <c r="G248" s="40"/>
      <c r="H248" s="16"/>
      <c r="I248" s="16"/>
      <c r="L248" s="16"/>
    </row>
    <row r="249" spans="1:12" ht="25.5" customHeight="1">
      <c r="A249" s="2" t="s">
        <v>3891</v>
      </c>
      <c r="B249" s="12" t="s">
        <v>3890</v>
      </c>
      <c r="C249" s="31" t="s">
        <v>4003</v>
      </c>
      <c r="D249" s="43"/>
      <c r="E249" s="44"/>
      <c r="F249" s="43"/>
      <c r="G249" s="23" t="s">
        <v>3983</v>
      </c>
      <c r="H249" s="43">
        <f>AVERAGE(F250:F259)</f>
        <v>2.1562766865926515E-2</v>
      </c>
      <c r="I249" s="43"/>
      <c r="J249" s="8"/>
      <c r="K249" s="8"/>
      <c r="L249" s="43"/>
    </row>
    <row r="250" spans="1:12" ht="12.75" customHeight="1">
      <c r="A250" s="1" t="s">
        <v>3892</v>
      </c>
      <c r="B250" s="7">
        <v>55.16</v>
      </c>
      <c r="C250" s="7">
        <v>47.85</v>
      </c>
      <c r="D250" s="16">
        <f>(C250-B250)/B250</f>
        <v>-0.13252356780275554</v>
      </c>
      <c r="E250" s="9">
        <v>46.84</v>
      </c>
      <c r="F250" s="16">
        <f>(C250-E250)/E250</f>
        <v>2.1562766865926515E-2</v>
      </c>
      <c r="G250" s="40"/>
      <c r="H250" s="16"/>
      <c r="I250" s="16"/>
      <c r="L250" s="16"/>
    </row>
    <row r="251" spans="1:12">
      <c r="A251" s="1"/>
      <c r="B251" s="7"/>
      <c r="C251" s="7"/>
      <c r="D251" s="16"/>
      <c r="E251" s="9"/>
      <c r="F251" s="16"/>
      <c r="G251" s="40"/>
      <c r="H251" s="16"/>
      <c r="I251" s="16"/>
      <c r="L251" s="16"/>
    </row>
    <row r="252" spans="1:12" ht="25.5" customHeight="1">
      <c r="A252" s="2" t="s">
        <v>3893</v>
      </c>
      <c r="B252" s="12" t="s">
        <v>3890</v>
      </c>
      <c r="C252" s="7"/>
      <c r="D252" s="16"/>
      <c r="E252" s="9"/>
      <c r="F252" s="16"/>
      <c r="G252" s="40"/>
      <c r="H252" s="16"/>
      <c r="I252" s="16"/>
      <c r="L252" s="16"/>
    </row>
    <row r="253" spans="1:12" ht="12.75" customHeight="1">
      <c r="A253" s="1" t="s">
        <v>3894</v>
      </c>
      <c r="B253" s="7">
        <v>56.65</v>
      </c>
      <c r="C253" s="7">
        <v>47.85</v>
      </c>
      <c r="D253" s="16">
        <f>(C253-B253)/B253</f>
        <v>-0.15533980582524268</v>
      </c>
      <c r="E253" s="9">
        <v>46.84</v>
      </c>
      <c r="F253" s="16">
        <f>(C253-E253)/E253</f>
        <v>2.1562766865926515E-2</v>
      </c>
      <c r="G253" s="40"/>
      <c r="H253" s="16"/>
      <c r="I253" s="16"/>
      <c r="L253" s="16"/>
    </row>
    <row r="254" spans="1:12">
      <c r="A254" s="1"/>
      <c r="B254" s="7"/>
      <c r="C254" s="7"/>
      <c r="D254" s="16"/>
      <c r="E254" s="9"/>
      <c r="F254" s="16"/>
      <c r="G254" s="40"/>
      <c r="H254" s="16"/>
      <c r="I254" s="16"/>
      <c r="L254" s="16"/>
    </row>
    <row r="255" spans="1:12" ht="25.5" customHeight="1">
      <c r="A255" s="2" t="s">
        <v>3895</v>
      </c>
      <c r="B255" s="12" t="s">
        <v>3890</v>
      </c>
      <c r="C255" s="7"/>
      <c r="D255" s="16"/>
      <c r="E255" s="9"/>
      <c r="F255" s="16"/>
      <c r="G255" s="40"/>
      <c r="H255" s="16"/>
      <c r="I255" s="16"/>
      <c r="L255" s="16"/>
    </row>
    <row r="256" spans="1:12" ht="12.75" customHeight="1">
      <c r="A256" s="1" t="s">
        <v>3896</v>
      </c>
      <c r="B256" s="7">
        <v>57.75</v>
      </c>
      <c r="C256" s="7">
        <v>47.85</v>
      </c>
      <c r="D256" s="16">
        <f>(C256-B256)/B256</f>
        <v>-0.1714285714285714</v>
      </c>
      <c r="E256" s="9">
        <v>46.84</v>
      </c>
      <c r="F256" s="16">
        <f>(C256-E256)/E256</f>
        <v>2.1562766865926515E-2</v>
      </c>
      <c r="G256" s="40"/>
      <c r="H256" s="16"/>
      <c r="I256" s="16"/>
      <c r="L256" s="16"/>
    </row>
    <row r="257" spans="1:12">
      <c r="A257" s="1"/>
      <c r="B257" s="7"/>
      <c r="C257" s="7"/>
      <c r="D257" s="16"/>
      <c r="E257" s="9"/>
      <c r="F257" s="16"/>
      <c r="G257" s="40"/>
      <c r="H257" s="16"/>
      <c r="I257" s="16"/>
      <c r="L257" s="16"/>
    </row>
    <row r="258" spans="1:12" ht="25.5" customHeight="1">
      <c r="A258" s="2" t="s">
        <v>3897</v>
      </c>
      <c r="B258" s="12" t="s">
        <v>3890</v>
      </c>
      <c r="C258" s="7"/>
      <c r="D258" s="16"/>
      <c r="E258" s="9"/>
      <c r="F258" s="16"/>
      <c r="G258" s="40"/>
      <c r="H258" s="16"/>
      <c r="I258" s="16"/>
      <c r="L258" s="16"/>
    </row>
    <row r="259" spans="1:12" ht="12.75" customHeight="1">
      <c r="A259" s="1" t="s">
        <v>3898</v>
      </c>
      <c r="B259" s="7">
        <v>57.37</v>
      </c>
      <c r="C259" s="7">
        <v>47.85</v>
      </c>
      <c r="D259" s="16">
        <f>(C259-B259)/B259</f>
        <v>-0.16594038696182667</v>
      </c>
      <c r="E259" s="9">
        <v>46.84</v>
      </c>
      <c r="F259" s="16">
        <f>(C259-E259)/E259</f>
        <v>2.1562766865926515E-2</v>
      </c>
      <c r="G259" s="40"/>
      <c r="H259" s="16"/>
      <c r="I259" s="16"/>
      <c r="L259" s="16"/>
    </row>
    <row r="260" spans="1:12">
      <c r="A260" s="1"/>
      <c r="B260" s="7"/>
      <c r="C260" s="7"/>
      <c r="D260" s="16"/>
      <c r="E260" s="9"/>
      <c r="F260" s="16"/>
      <c r="G260" s="40"/>
      <c r="H260" s="16"/>
      <c r="I260" s="16"/>
      <c r="L260" s="16"/>
    </row>
    <row r="261" spans="1:12" ht="25.5" customHeight="1">
      <c r="A261" s="2" t="s">
        <v>3899</v>
      </c>
      <c r="B261" s="12" t="s">
        <v>3890</v>
      </c>
      <c r="C261" s="31" t="s">
        <v>3981</v>
      </c>
      <c r="D261" s="43"/>
      <c r="E261" s="44"/>
      <c r="F261" s="43"/>
      <c r="G261" s="23" t="s">
        <v>3983</v>
      </c>
      <c r="H261" s="43">
        <f>AVERAGE(F262:F265)</f>
        <v>0.28945570485083127</v>
      </c>
      <c r="I261" s="43"/>
      <c r="J261" s="8"/>
      <c r="K261" s="8"/>
      <c r="L261" s="43"/>
    </row>
    <row r="262" spans="1:12" ht="12.75" customHeight="1">
      <c r="A262" s="1" t="s">
        <v>3900</v>
      </c>
      <c r="B262" s="7">
        <v>54.87</v>
      </c>
      <c r="C262" s="7">
        <v>56.62</v>
      </c>
      <c r="D262" s="16">
        <f>(C262-B262)/B262</f>
        <v>3.1893566611991983E-2</v>
      </c>
      <c r="E262" s="9">
        <v>43.91</v>
      </c>
      <c r="F262" s="16">
        <f>(C262-E262)/E262</f>
        <v>0.28945570485083127</v>
      </c>
      <c r="G262" s="40"/>
      <c r="H262" s="16"/>
      <c r="I262" s="16"/>
      <c r="L262" s="16"/>
    </row>
    <row r="263" spans="1:12">
      <c r="A263" s="1"/>
      <c r="B263" s="7"/>
      <c r="C263" s="7"/>
      <c r="D263" s="16"/>
      <c r="E263" s="9"/>
      <c r="F263" s="16"/>
      <c r="G263" s="40"/>
      <c r="H263" s="16"/>
      <c r="I263" s="16"/>
      <c r="L263" s="16"/>
    </row>
    <row r="264" spans="1:12" ht="25.5" customHeight="1">
      <c r="A264" s="2" t="s">
        <v>3901</v>
      </c>
      <c r="B264" s="12" t="s">
        <v>3890</v>
      </c>
      <c r="C264" s="31" t="s">
        <v>3981</v>
      </c>
      <c r="D264" s="43"/>
      <c r="E264" s="44"/>
      <c r="F264" s="43"/>
      <c r="G264" s="23" t="s">
        <v>3983</v>
      </c>
      <c r="H264" s="43"/>
      <c r="I264" s="43"/>
      <c r="J264" s="8"/>
      <c r="K264" s="8"/>
      <c r="L264" s="43"/>
    </row>
    <row r="265" spans="1:12" ht="12.75" customHeight="1">
      <c r="A265" s="1" t="s">
        <v>3902</v>
      </c>
      <c r="B265" s="7">
        <v>54.87</v>
      </c>
      <c r="C265" s="7">
        <v>56.62</v>
      </c>
      <c r="D265" s="16">
        <f>(C265-B265)/B265</f>
        <v>3.1893566611991983E-2</v>
      </c>
      <c r="E265" s="9">
        <v>43.91</v>
      </c>
      <c r="F265" s="16">
        <f>(C265-E265)/E265</f>
        <v>0.28945570485083127</v>
      </c>
      <c r="G265" s="40"/>
      <c r="H265" s="16"/>
      <c r="I265" s="16"/>
      <c r="L265" s="16"/>
    </row>
    <row r="268" spans="1:12">
      <c r="A268" s="8" t="s">
        <v>3988</v>
      </c>
      <c r="B268" s="7"/>
      <c r="D268" s="16"/>
      <c r="E268" s="40"/>
    </row>
    <row r="269" spans="1:12">
      <c r="A269" s="1" t="s">
        <v>3986</v>
      </c>
      <c r="B269" s="7"/>
      <c r="D269" s="16"/>
      <c r="G269" s="40">
        <f>COUNTIF(G4:G265,"Y")</f>
        <v>34</v>
      </c>
    </row>
    <row r="270" spans="1:12">
      <c r="A270" s="1" t="s">
        <v>3987</v>
      </c>
      <c r="B270" s="7"/>
      <c r="D270" s="16"/>
      <c r="G270" s="41">
        <f>COUNTIF(G4:G266,"N")</f>
        <v>4</v>
      </c>
    </row>
    <row r="271" spans="1:12">
      <c r="A271" s="8" t="s">
        <v>3985</v>
      </c>
      <c r="B271"/>
      <c r="D271" s="16"/>
      <c r="G271" s="23">
        <f>SUM(G269:G270)</f>
        <v>38</v>
      </c>
    </row>
  </sheetData>
  <mergeCells count="1">
    <mergeCell ref="A32:A33"/>
  </mergeCells>
  <phoneticPr fontId="2" type="noConversion"/>
  <hyperlinks>
    <hyperlink ref="A1" r:id="rId1" display="http://www.laborcommissioner.com/10rates/lincoln.html"/>
    <hyperlink ref="B4" location="sheetzone" display="sheetzone"/>
    <hyperlink ref="B26" location="ELEC COMM TECH SOUTH" display="ELEC COMM TECH SOUTH"/>
    <hyperlink ref="B43" location="electwirezone" display="electwirezone"/>
    <hyperlink ref="B53" location="LABORER ZONE" display="LABORER ZONE"/>
    <hyperlink ref="B67" location="LABORER ZONE" display="LABORER ZONE"/>
    <hyperlink ref="B70" location="labzone" display="labzone"/>
    <hyperlink ref="B75" r:id="rId2" display="http://www.laborcommissioner.com/10rates/2010 Amendments/2010Amendment1.htm"/>
    <hyperlink ref="A81" location="LABOR GROUPS" display="LABOR GROUPS"/>
    <hyperlink ref="B81" location="labzone" display="labzone"/>
    <hyperlink ref="A108" location="op eng groups" display="op eng groups"/>
    <hyperlink ref="A139" location="op eng cranes groups" display="op eng cranes groups"/>
    <hyperlink ref="A158" location="OP ENG SURVEY GROUP CLASS 07" display="OP ENG SURVEY GROUP CLASS 07"/>
    <hyperlink ref="B158" location="opengzone" display="opengzone"/>
    <hyperlink ref="A172" location="op eng tunnel groups" display="op eng tunnel groups"/>
    <hyperlink ref="B195" location="plastzone" display="plastzone"/>
    <hyperlink ref="B213" location="sheetzone" display="sheetzone"/>
    <hyperlink ref="B227" location="TILE TERRAZZO MARBLE ZONE" display="TILE TERRAZZO MARBLE ZONE"/>
    <hyperlink ref="B233" location="labzone" display="labzone"/>
    <hyperlink ref="A237" location="Truck Driver 08" display="Truck Driver 08"/>
    <hyperlink ref="B237" location="Truck Zone" display="Truck Zone"/>
    <hyperlink ref="B246" location="opengzone" display="opengzone"/>
    <hyperlink ref="B249" location="opengzone" display="opengzone"/>
    <hyperlink ref="B252" location="opengzone" display="opengzone"/>
    <hyperlink ref="B255" location="opengzone" display="opengzone"/>
    <hyperlink ref="B258" location="opengzone" display="opengzone"/>
    <hyperlink ref="B261" location="opengzone" display="opengzone"/>
    <hyperlink ref="B264" location="opengzone" display="opengzone"/>
    <hyperlink ref="B15" location="brick zone" display="brick zone"/>
    <hyperlink ref="B21" location="cemmaszone" display="cemmaszone"/>
    <hyperlink ref="B64" location="LABORER ZONE" display="LABORER ZONE"/>
    <hyperlink ref="C233" location="labzone" display="labzone"/>
    <hyperlink ref="C81" location="labzone" display="labzone"/>
  </hyperlinks>
  <pageMargins left="0.3" right="0.3" top="0.5" bottom="0.5" header="0.5" footer="0.5"/>
  <pageSetup orientation="landscape" r:id="rId3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8"/>
  <sheetViews>
    <sheetView workbookViewId="0">
      <selection activeCell="M1" sqref="M1:M1048576"/>
    </sheetView>
  </sheetViews>
  <sheetFormatPr defaultRowHeight="12.75"/>
  <cols>
    <col min="1" max="1" width="35.7109375" customWidth="1"/>
    <col min="2" max="2" width="9.28515625" style="9" customWidth="1"/>
    <col min="3" max="3" width="9.140625" style="9" customWidth="1"/>
    <col min="4" max="4" width="11.7109375" customWidth="1"/>
    <col min="6" max="6" width="19.85546875" customWidth="1"/>
    <col min="7" max="7" width="7" customWidth="1"/>
    <col min="8" max="8" width="11" customWidth="1"/>
    <col min="9" max="9" width="11.140625" customWidth="1"/>
    <col min="10" max="10" width="8.140625" customWidth="1"/>
    <col min="11" max="11" width="16.42578125" customWidth="1"/>
    <col min="12" max="12" width="13.28515625" customWidth="1"/>
  </cols>
  <sheetData>
    <row r="1" spans="1:12" ht="60.75" customHeight="1">
      <c r="A1" s="57" t="s">
        <v>4005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0"/>
      <c r="C2" s="20"/>
      <c r="D2" s="38">
        <f>AVERAGE(D4:D263)</f>
        <v>8.5929651411997307E-2</v>
      </c>
      <c r="F2" s="38">
        <f>AVERAGE(F4:F263)</f>
        <v>6.3646632874050618E-2</v>
      </c>
      <c r="H2" s="38">
        <f>AVERAGE(H4:H263)</f>
        <v>4.9822840073246791E-2</v>
      </c>
      <c r="I2" s="38">
        <f>AVERAGE(I4:I263)</f>
        <v>2.5336797254535341E-3</v>
      </c>
      <c r="L2" s="38">
        <f>AVERAGE(L4:L263)</f>
        <v>0.42164658521827436</v>
      </c>
    </row>
    <row r="3" spans="1:12">
      <c r="A3" s="58"/>
      <c r="B3" s="59"/>
      <c r="C3" s="59"/>
      <c r="D3" s="65"/>
      <c r="F3" s="65"/>
      <c r="H3" s="65"/>
      <c r="I3" s="65"/>
      <c r="L3" s="65"/>
    </row>
    <row r="4" spans="1:12" ht="63.75">
      <c r="A4" s="2" t="s">
        <v>3500</v>
      </c>
      <c r="B4" s="12" t="s">
        <v>3501</v>
      </c>
      <c r="C4" s="44"/>
      <c r="D4" s="8"/>
      <c r="E4" s="44"/>
      <c r="F4" s="43"/>
      <c r="G4" s="23" t="s">
        <v>3983</v>
      </c>
      <c r="H4" s="43">
        <f>AVERAGE(F5:F7)</f>
        <v>0.4561403508771929</v>
      </c>
      <c r="I4" s="43"/>
      <c r="J4" s="44"/>
      <c r="K4" s="44"/>
      <c r="L4" s="43"/>
    </row>
    <row r="5" spans="1:12">
      <c r="A5" s="1" t="s">
        <v>3750</v>
      </c>
      <c r="B5" s="7">
        <v>46.6</v>
      </c>
      <c r="C5" s="7">
        <v>48.35</v>
      </c>
      <c r="D5" s="16">
        <f>(C5-B5)/B5</f>
        <v>3.7553648068669523E-2</v>
      </c>
      <c r="E5" s="9">
        <v>35.340000000000003</v>
      </c>
      <c r="F5" s="16">
        <f>(C5-E5)/E5</f>
        <v>0.36813808715336721</v>
      </c>
      <c r="G5" s="40"/>
      <c r="H5" s="16"/>
      <c r="I5" s="16"/>
      <c r="J5" s="9"/>
      <c r="K5" s="9"/>
      <c r="L5" s="16"/>
    </row>
    <row r="6" spans="1:12">
      <c r="A6" s="1" t="s">
        <v>3751</v>
      </c>
      <c r="B6" s="7">
        <v>49.62</v>
      </c>
      <c r="C6" s="7">
        <v>51.46</v>
      </c>
      <c r="D6" s="16">
        <f>(C6-B6)/B6</f>
        <v>3.70818218460299E-2</v>
      </c>
      <c r="E6" s="9">
        <v>35.340000000000003</v>
      </c>
      <c r="F6" s="16">
        <f>(C6-E6)/E6</f>
        <v>0.45614035087719285</v>
      </c>
      <c r="G6" s="40"/>
      <c r="H6" s="16"/>
      <c r="I6" s="16"/>
      <c r="J6" s="9"/>
      <c r="K6" s="9"/>
      <c r="L6" s="16"/>
    </row>
    <row r="7" spans="1:12">
      <c r="A7" s="1" t="s">
        <v>3752</v>
      </c>
      <c r="B7" s="7">
        <v>52.64</v>
      </c>
      <c r="C7" s="7">
        <v>54.57</v>
      </c>
      <c r="D7" s="16">
        <f>(C7-B7)/B7</f>
        <v>3.666413373860182E-2</v>
      </c>
      <c r="E7" s="9">
        <v>35.340000000000003</v>
      </c>
      <c r="F7" s="16">
        <f>(C7-E7)/E7</f>
        <v>0.54414261460101854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31"/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3903</v>
      </c>
      <c r="B10" s="7">
        <v>28.38</v>
      </c>
      <c r="C10" s="7">
        <v>28.01</v>
      </c>
      <c r="D10" s="16">
        <f>(C10-B10)/B10</f>
        <v>-1.3037350246652483E-2</v>
      </c>
      <c r="E10" s="9">
        <v>28.01</v>
      </c>
      <c r="F10" s="16">
        <f>(C10-E10)/E10</f>
        <v>0</v>
      </c>
      <c r="G10" s="40"/>
      <c r="H10" s="16"/>
      <c r="I10" s="16"/>
      <c r="J10" s="9"/>
      <c r="K10" s="9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>
      <c r="A12" s="2" t="s">
        <v>3507</v>
      </c>
      <c r="B12" s="11" t="s">
        <v>3534</v>
      </c>
      <c r="C12" s="55" t="s">
        <v>3981</v>
      </c>
      <c r="D12" s="43"/>
      <c r="E12" s="44"/>
      <c r="F12" s="43"/>
      <c r="G12" s="23" t="s">
        <v>3983</v>
      </c>
      <c r="H12" s="43">
        <f>AVERAGE(F13:F15)</f>
        <v>1.8693032596941044E-2</v>
      </c>
      <c r="I12" s="43"/>
      <c r="J12" s="44"/>
      <c r="K12" s="44"/>
      <c r="L12" s="43"/>
    </row>
    <row r="13" spans="1:12">
      <c r="A13" s="1" t="s">
        <v>3508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/>
      <c r="B14" s="7"/>
      <c r="C14" s="7"/>
      <c r="D14" s="16"/>
      <c r="E14" s="9"/>
      <c r="F14" s="16"/>
      <c r="G14" s="40"/>
      <c r="H14" s="16"/>
      <c r="I14" s="16"/>
      <c r="J14" s="9"/>
      <c r="K14" s="9"/>
      <c r="L14" s="16"/>
    </row>
    <row r="15" spans="1:12" ht="38.25">
      <c r="A15" s="2" t="s">
        <v>3509</v>
      </c>
      <c r="B15" s="12" t="s">
        <v>3937</v>
      </c>
      <c r="C15" s="55" t="s">
        <v>3480</v>
      </c>
      <c r="D15" s="43"/>
      <c r="E15" s="44"/>
      <c r="F15" s="43"/>
      <c r="G15" s="23" t="s">
        <v>3983</v>
      </c>
      <c r="H15" s="43">
        <f>AVERAGE(F16:F18)</f>
        <v>8.2090341690468568E-2</v>
      </c>
      <c r="I15" s="43"/>
      <c r="J15" s="44"/>
      <c r="K15" s="44"/>
      <c r="L15" s="43"/>
    </row>
    <row r="16" spans="1:12">
      <c r="A16" s="1" t="s">
        <v>3511</v>
      </c>
      <c r="B16" s="7">
        <v>32.68</v>
      </c>
      <c r="C16" s="7">
        <v>32.68</v>
      </c>
      <c r="D16" s="16">
        <f>(C16-B16)/B16</f>
        <v>0</v>
      </c>
      <c r="E16" s="9">
        <v>31.51</v>
      </c>
      <c r="F16" s="16">
        <f>(C16-E16)/E16</f>
        <v>3.7131069501745419E-2</v>
      </c>
      <c r="G16" s="40"/>
      <c r="H16" s="16"/>
      <c r="I16" s="16"/>
      <c r="J16" s="9"/>
      <c r="K16" s="9"/>
      <c r="L16" s="16"/>
    </row>
    <row r="17" spans="1:12">
      <c r="A17" s="1" t="s">
        <v>3512</v>
      </c>
      <c r="B17" s="7">
        <v>33.93</v>
      </c>
      <c r="C17" s="7">
        <v>33.93</v>
      </c>
      <c r="D17" s="16">
        <f>(C17-B17)/B17</f>
        <v>0</v>
      </c>
      <c r="E17" s="9">
        <v>31.51</v>
      </c>
      <c r="F17" s="16">
        <f>(C17-E17)/E17</f>
        <v>7.6801015550618787E-2</v>
      </c>
      <c r="G17" s="40"/>
      <c r="H17" s="16"/>
      <c r="I17" s="16"/>
      <c r="J17" s="9"/>
      <c r="K17" s="9"/>
      <c r="L17" s="16"/>
    </row>
    <row r="18" spans="1:12">
      <c r="A18" s="1" t="s">
        <v>3513</v>
      </c>
      <c r="B18" s="7">
        <v>35.68</v>
      </c>
      <c r="C18" s="7">
        <v>35.68</v>
      </c>
      <c r="D18" s="16">
        <f>(C18-B18)/B18</f>
        <v>0</v>
      </c>
      <c r="E18" s="9">
        <v>31.51</v>
      </c>
      <c r="F18" s="16">
        <f>(C18-E18)/E18</f>
        <v>0.13233894001904151</v>
      </c>
      <c r="G18" s="40"/>
      <c r="H18" s="16"/>
      <c r="I18" s="16"/>
      <c r="J18" s="9"/>
      <c r="K18" s="9"/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J19" s="9"/>
      <c r="K19" s="9"/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AVERAGE(F21:F22)</f>
        <v>2.8545826932923579E-2</v>
      </c>
      <c r="I20" s="43"/>
      <c r="J20" s="44"/>
      <c r="K20" s="44"/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39.06</v>
      </c>
      <c r="F21" s="16">
        <f>(C21-E21)/E21</f>
        <v>-6.6564260112648519E-3</v>
      </c>
      <c r="G21" s="40"/>
      <c r="H21" s="16"/>
      <c r="I21" s="16"/>
      <c r="J21" s="9">
        <v>22.16</v>
      </c>
      <c r="K21" s="9">
        <f>J21*1.4</f>
        <v>31.023999999999997</v>
      </c>
      <c r="L21" s="16">
        <f>(C21-K21)/K21</f>
        <v>0.25064466219700876</v>
      </c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39.06</v>
      </c>
      <c r="F22" s="16">
        <f>(C22-E22)/E22</f>
        <v>6.3748079877112007E-2</v>
      </c>
      <c r="G22" s="40"/>
      <c r="H22" s="16"/>
      <c r="I22" s="16"/>
      <c r="J22" s="9"/>
      <c r="K22" s="9">
        <f t="shared" ref="K22:K85" si="0">J22*1.4</f>
        <v>0</v>
      </c>
      <c r="L22" s="16"/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J23" s="9"/>
      <c r="K23" s="9">
        <f t="shared" si="0"/>
        <v>0</v>
      </c>
      <c r="L23" s="16"/>
    </row>
    <row r="24" spans="1:12">
      <c r="A24" s="2" t="s">
        <v>3517</v>
      </c>
      <c r="B24" s="7"/>
      <c r="C24" s="31"/>
      <c r="D24" s="43"/>
      <c r="E24" s="44"/>
      <c r="F24" s="43"/>
      <c r="G24" s="23" t="s">
        <v>3983</v>
      </c>
      <c r="H24" s="43">
        <f>AVERAGE(F25:F26)</f>
        <v>2.9369002617039779E-2</v>
      </c>
      <c r="I24" s="43"/>
      <c r="J24" s="44"/>
      <c r="K24" s="9">
        <f t="shared" si="0"/>
        <v>0</v>
      </c>
      <c r="L24" s="43"/>
    </row>
    <row r="25" spans="1:12">
      <c r="A25" s="1" t="s">
        <v>3521</v>
      </c>
      <c r="B25" s="7">
        <v>34.4</v>
      </c>
      <c r="C25" s="7">
        <v>34.4</v>
      </c>
      <c r="D25" s="16">
        <f>(C25-B25)/B25</f>
        <v>0</v>
      </c>
      <c r="E25" s="9">
        <v>34.39</v>
      </c>
      <c r="F25" s="16">
        <f>(C25-E25)/E25</f>
        <v>2.9078220412904945E-4</v>
      </c>
      <c r="G25" s="40"/>
      <c r="H25" s="16"/>
      <c r="I25" s="16"/>
      <c r="J25" s="9">
        <v>21.45</v>
      </c>
      <c r="K25" s="9">
        <f t="shared" si="0"/>
        <v>30.029999999999998</v>
      </c>
      <c r="L25" s="16">
        <f>(C25-K25)/K25</f>
        <v>0.14552114552114556</v>
      </c>
    </row>
    <row r="26" spans="1:12">
      <c r="A26" s="1" t="s">
        <v>3522</v>
      </c>
      <c r="B26" s="7">
        <v>36.4</v>
      </c>
      <c r="C26" s="7">
        <v>36.4</v>
      </c>
      <c r="D26" s="16">
        <f>(C26-B26)/B26</f>
        <v>0</v>
      </c>
      <c r="E26" s="9">
        <v>34.39</v>
      </c>
      <c r="F26" s="16">
        <f>(C26-E26)/E26</f>
        <v>5.8447223029950507E-2</v>
      </c>
      <c r="G26" s="40"/>
      <c r="H26" s="16"/>
      <c r="I26" s="16"/>
      <c r="J26" s="9">
        <v>21.45</v>
      </c>
      <c r="K26" s="9">
        <f t="shared" si="0"/>
        <v>30.029999999999998</v>
      </c>
      <c r="L26" s="16">
        <f>(C26-K26)/K26</f>
        <v>0.21212121212121218</v>
      </c>
    </row>
    <row r="27" spans="1:12">
      <c r="A27" s="143"/>
      <c r="B27" s="143"/>
      <c r="C27" s="7"/>
      <c r="D27" s="16"/>
      <c r="E27" s="9"/>
      <c r="F27" s="16"/>
      <c r="G27" s="40"/>
      <c r="H27" s="16"/>
      <c r="I27" s="16"/>
      <c r="J27" s="9"/>
      <c r="K27" s="9">
        <f t="shared" si="0"/>
        <v>0</v>
      </c>
      <c r="L27" s="16"/>
    </row>
    <row r="28" spans="1:12" ht="12.75" customHeight="1">
      <c r="A28" s="144" t="s">
        <v>3676</v>
      </c>
      <c r="B28" s="144"/>
      <c r="C28" s="31"/>
      <c r="D28" s="43"/>
      <c r="E28" s="44"/>
      <c r="F28" s="43"/>
      <c r="G28" s="23" t="s">
        <v>3984</v>
      </c>
      <c r="H28" s="43"/>
      <c r="I28" s="43">
        <f>AVERAGE(F29:F31)</f>
        <v>1.7388087310395813E-2</v>
      </c>
      <c r="J28" s="44"/>
      <c r="K28" s="9">
        <f t="shared" si="0"/>
        <v>0</v>
      </c>
      <c r="L28" s="43"/>
    </row>
    <row r="29" spans="1:12">
      <c r="A29" s="1" t="s">
        <v>3952</v>
      </c>
      <c r="B29" s="7">
        <v>27.97</v>
      </c>
      <c r="C29" s="7">
        <v>27.5</v>
      </c>
      <c r="D29" s="16">
        <f>(C29-B29)/B29</f>
        <v>-1.6803718269574504E-2</v>
      </c>
      <c r="E29" s="9">
        <v>27.03</v>
      </c>
      <c r="F29" s="16">
        <f>(C29-E29)/E29</f>
        <v>1.7388087310395813E-2</v>
      </c>
      <c r="G29" s="40"/>
      <c r="H29" s="16"/>
      <c r="I29" s="16"/>
      <c r="J29" s="9"/>
      <c r="K29" s="9">
        <f t="shared" si="0"/>
        <v>0</v>
      </c>
      <c r="L29" s="16"/>
    </row>
    <row r="30" spans="1:12">
      <c r="A30" s="1" t="s">
        <v>3929</v>
      </c>
      <c r="B30" s="7">
        <v>30.88</v>
      </c>
      <c r="C30" s="7">
        <v>27.5</v>
      </c>
      <c r="D30" s="16">
        <f>(C30-B30)/B30</f>
        <v>-0.10945595854922277</v>
      </c>
      <c r="E30" s="9">
        <v>27.03</v>
      </c>
      <c r="F30" s="16">
        <f>(C30-E30)/E30</f>
        <v>1.7388087310395813E-2</v>
      </c>
      <c r="G30" s="40"/>
      <c r="H30" s="16"/>
      <c r="I30" s="16"/>
      <c r="J30" s="9"/>
      <c r="K30" s="9">
        <f t="shared" si="0"/>
        <v>0</v>
      </c>
      <c r="L30" s="16"/>
    </row>
    <row r="31" spans="1:12" ht="25.5">
      <c r="A31" s="1" t="s">
        <v>3953</v>
      </c>
      <c r="B31" s="7">
        <v>33.130000000000003</v>
      </c>
      <c r="C31" s="7">
        <v>27.5</v>
      </c>
      <c r="D31" s="16">
        <f>(C31-B31)/B31</f>
        <v>-0.16993661334138249</v>
      </c>
      <c r="E31" s="9">
        <v>27.03</v>
      </c>
      <c r="F31" s="16">
        <f>(C31-E31)/E31</f>
        <v>1.7388087310395813E-2</v>
      </c>
      <c r="G31" s="40"/>
      <c r="H31" s="16"/>
      <c r="I31" s="16"/>
      <c r="J31" s="9"/>
      <c r="K31" s="9">
        <f t="shared" si="0"/>
        <v>0</v>
      </c>
      <c r="L31" s="16"/>
    </row>
    <row r="32" spans="1:12">
      <c r="A32" s="1"/>
      <c r="B32" s="7"/>
      <c r="C32" s="7"/>
      <c r="D32" s="16"/>
      <c r="E32" s="9"/>
      <c r="F32" s="16"/>
      <c r="G32" s="40"/>
      <c r="H32" s="16"/>
      <c r="I32" s="16"/>
      <c r="J32" s="9"/>
      <c r="K32" s="9">
        <f t="shared" si="0"/>
        <v>0</v>
      </c>
      <c r="L32" s="16"/>
    </row>
    <row r="33" spans="1:12">
      <c r="A33" s="2" t="s">
        <v>3527</v>
      </c>
      <c r="B33" s="11" t="s">
        <v>3534</v>
      </c>
      <c r="C33" s="33" t="s">
        <v>3534</v>
      </c>
      <c r="D33" s="43"/>
      <c r="E33" s="44"/>
      <c r="F33" s="43"/>
      <c r="G33" s="23" t="s">
        <v>3983</v>
      </c>
      <c r="H33" s="43">
        <f>AVERAGE(F34:F38)</f>
        <v>-2.2260273972602725E-2</v>
      </c>
      <c r="I33" s="43"/>
      <c r="J33" s="44"/>
      <c r="K33" s="9">
        <f t="shared" si="0"/>
        <v>0</v>
      </c>
      <c r="L33" s="43"/>
    </row>
    <row r="34" spans="1:12">
      <c r="A34" s="1" t="s">
        <v>3528</v>
      </c>
      <c r="B34" s="7">
        <v>39.19</v>
      </c>
      <c r="C34" s="7">
        <v>40.5</v>
      </c>
      <c r="D34" s="16">
        <f>(C34-B34)/B34</f>
        <v>3.3426894615973521E-2</v>
      </c>
      <c r="E34" s="9">
        <v>58.4</v>
      </c>
      <c r="F34" s="16">
        <f>(C34-E34)/E34</f>
        <v>-0.3065068493150685</v>
      </c>
      <c r="G34" s="40"/>
      <c r="H34" s="16"/>
      <c r="I34" s="16"/>
      <c r="J34" s="9"/>
      <c r="K34" s="9">
        <f t="shared" si="0"/>
        <v>0</v>
      </c>
      <c r="L34" s="16"/>
    </row>
    <row r="35" spans="1:12">
      <c r="A35" s="1" t="s">
        <v>3529</v>
      </c>
      <c r="B35" s="7">
        <v>57.91</v>
      </c>
      <c r="C35" s="7">
        <v>59.9</v>
      </c>
      <c r="D35" s="16">
        <f>(C35-B35)/B35</f>
        <v>3.4363667760317768E-2</v>
      </c>
      <c r="E35" s="9">
        <v>58.4</v>
      </c>
      <c r="F35" s="16">
        <f>(C35-E35)/E35</f>
        <v>2.5684931506849317E-2</v>
      </c>
      <c r="G35" s="40"/>
      <c r="H35" s="16"/>
      <c r="I35" s="16"/>
      <c r="J35" s="9"/>
      <c r="K35" s="9">
        <f t="shared" si="0"/>
        <v>0</v>
      </c>
      <c r="L35" s="16"/>
    </row>
    <row r="36" spans="1:12">
      <c r="A36" s="1" t="s">
        <v>3530</v>
      </c>
      <c r="B36" s="7">
        <v>63.02</v>
      </c>
      <c r="C36" s="7">
        <v>65.16</v>
      </c>
      <c r="D36" s="16">
        <f>(C36-B36)/B36</f>
        <v>3.3957473817835503E-2</v>
      </c>
      <c r="E36" s="9">
        <v>58.4</v>
      </c>
      <c r="F36" s="16">
        <f>(C36-E36)/E36</f>
        <v>0.11575342465753422</v>
      </c>
      <c r="G36" s="40"/>
      <c r="H36" s="16"/>
      <c r="I36" s="16"/>
      <c r="J36" s="9"/>
      <c r="K36" s="9">
        <f t="shared" si="0"/>
        <v>0</v>
      </c>
      <c r="L36" s="16"/>
    </row>
    <row r="37" spans="1:12">
      <c r="A37" s="1" t="s">
        <v>3531</v>
      </c>
      <c r="B37" s="7">
        <v>68.12</v>
      </c>
      <c r="C37" s="7">
        <v>70.45</v>
      </c>
      <c r="D37" s="16">
        <f>(C37-B37)/B37</f>
        <v>3.4204345273047533E-2</v>
      </c>
      <c r="E37" s="9">
        <v>58.4</v>
      </c>
      <c r="F37" s="16">
        <f>(C37-E37)/E37</f>
        <v>0.20633561643835624</v>
      </c>
      <c r="G37" s="40"/>
      <c r="H37" s="16"/>
      <c r="I37" s="16"/>
      <c r="J37" s="9"/>
      <c r="K37" s="9">
        <f t="shared" si="0"/>
        <v>0</v>
      </c>
      <c r="L37" s="16"/>
    </row>
    <row r="38" spans="1:12">
      <c r="A38" s="1" t="s">
        <v>3532</v>
      </c>
      <c r="B38" s="7">
        <v>47.86</v>
      </c>
      <c r="C38" s="7">
        <v>49.49</v>
      </c>
      <c r="D38" s="16">
        <f>(C38-B38)/B38</f>
        <v>3.4057668198913552E-2</v>
      </c>
      <c r="E38" s="9">
        <v>58.4</v>
      </c>
      <c r="F38" s="16">
        <f>(C38-E38)/E38</f>
        <v>-0.15256849315068488</v>
      </c>
      <c r="G38" s="40"/>
      <c r="H38" s="16"/>
      <c r="I38" s="16"/>
      <c r="J38" s="9"/>
      <c r="K38" s="9">
        <f t="shared" si="0"/>
        <v>0</v>
      </c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J39" s="9"/>
      <c r="K39" s="9">
        <f t="shared" si="0"/>
        <v>0</v>
      </c>
      <c r="L39" s="16"/>
    </row>
    <row r="40" spans="1:12">
      <c r="A40" s="2" t="s">
        <v>3533</v>
      </c>
      <c r="B40" s="11" t="s">
        <v>3534</v>
      </c>
      <c r="C40" s="31" t="s">
        <v>3981</v>
      </c>
      <c r="D40" s="43"/>
      <c r="E40" s="44"/>
      <c r="F40" s="43"/>
      <c r="G40" s="23" t="s">
        <v>3983</v>
      </c>
      <c r="H40" s="43">
        <f>AVERAGE(F41)</f>
        <v>5.7445868316395301E-3</v>
      </c>
      <c r="I40" s="43"/>
      <c r="J40" s="44"/>
      <c r="K40" s="9">
        <f t="shared" si="0"/>
        <v>0</v>
      </c>
      <c r="L40" s="43"/>
    </row>
    <row r="41" spans="1:12">
      <c r="A41" s="1" t="s">
        <v>3535</v>
      </c>
      <c r="B41" s="7">
        <v>44.31</v>
      </c>
      <c r="C41" s="7">
        <v>45.52</v>
      </c>
      <c r="D41" s="16">
        <f>(C41-B41)/B41</f>
        <v>2.7307605506657655E-2</v>
      </c>
      <c r="E41" s="9">
        <v>45.26</v>
      </c>
      <c r="F41" s="16">
        <f>(C41-E41)/E41</f>
        <v>5.7445868316395301E-3</v>
      </c>
      <c r="G41" s="40"/>
      <c r="H41" s="16"/>
      <c r="I41" s="16"/>
      <c r="J41" s="9"/>
      <c r="K41" s="9">
        <f t="shared" si="0"/>
        <v>0</v>
      </c>
      <c r="L41" s="16"/>
    </row>
    <row r="42" spans="1:12">
      <c r="A42" s="1"/>
      <c r="B42" s="7"/>
      <c r="C42" s="7"/>
      <c r="D42" s="16"/>
      <c r="E42" s="9"/>
      <c r="F42" s="16"/>
      <c r="G42" s="40"/>
      <c r="H42" s="16"/>
      <c r="I42" s="16"/>
      <c r="J42" s="9"/>
      <c r="K42" s="9">
        <f t="shared" si="0"/>
        <v>0</v>
      </c>
      <c r="L42" s="16"/>
    </row>
    <row r="43" spans="1:12">
      <c r="A43" s="2" t="s">
        <v>3536</v>
      </c>
      <c r="B43" s="11" t="s">
        <v>3534</v>
      </c>
      <c r="C43" s="33" t="s">
        <v>3534</v>
      </c>
      <c r="D43" s="43"/>
      <c r="E43" s="44"/>
      <c r="F43" s="43"/>
      <c r="G43" s="23" t="s">
        <v>3983</v>
      </c>
      <c r="H43" s="43">
        <f>AVERAGE(F44:F47)</f>
        <v>0.17832469775474957</v>
      </c>
      <c r="I43" s="43"/>
      <c r="J43" s="44"/>
      <c r="K43" s="9">
        <f t="shared" si="0"/>
        <v>0</v>
      </c>
      <c r="L43" s="43"/>
    </row>
    <row r="44" spans="1:12">
      <c r="A44" s="1" t="s">
        <v>3537</v>
      </c>
      <c r="B44" s="7">
        <v>35.22</v>
      </c>
      <c r="C44" s="7">
        <v>50.78</v>
      </c>
      <c r="D44" s="16">
        <f>(C44-B44)/B44</f>
        <v>0.44179443498012499</v>
      </c>
      <c r="E44" s="9">
        <v>46.32</v>
      </c>
      <c r="F44" s="16">
        <f>(C44-E44)/E44</f>
        <v>9.6286701208981015E-2</v>
      </c>
      <c r="G44" s="40"/>
      <c r="H44" s="16"/>
      <c r="I44" s="16"/>
      <c r="J44" s="9">
        <v>22.46</v>
      </c>
      <c r="K44" s="9">
        <f t="shared" si="0"/>
        <v>31.443999999999999</v>
      </c>
      <c r="L44" s="16">
        <f>(C44-K44)/K44</f>
        <v>0.61493448670652595</v>
      </c>
    </row>
    <row r="45" spans="1:12">
      <c r="A45" s="1" t="s">
        <v>3538</v>
      </c>
      <c r="B45" s="7">
        <v>35.22</v>
      </c>
      <c r="C45" s="7">
        <v>54.58</v>
      </c>
      <c r="D45" s="16">
        <f>(C45-B45)/B45</f>
        <v>0.5496876774559909</v>
      </c>
      <c r="E45" s="9">
        <v>46.32</v>
      </c>
      <c r="F45" s="16">
        <f>(C45-E45)/E45</f>
        <v>0.17832469775474952</v>
      </c>
      <c r="G45" s="40"/>
      <c r="H45" s="16"/>
      <c r="I45" s="16"/>
      <c r="J45" s="9">
        <v>22.46</v>
      </c>
      <c r="K45" s="9">
        <f t="shared" si="0"/>
        <v>31.443999999999999</v>
      </c>
      <c r="L45" s="16">
        <f t="shared" ref="L45:L47" si="1">(C45-K45)/K45</f>
        <v>0.73578425136751047</v>
      </c>
    </row>
    <row r="46" spans="1:12">
      <c r="A46" s="1" t="s">
        <v>3601</v>
      </c>
      <c r="B46" s="7">
        <v>35.22</v>
      </c>
      <c r="C46" s="7">
        <v>54.58</v>
      </c>
      <c r="D46" s="16">
        <f>(C46-B46)/B46</f>
        <v>0.5496876774559909</v>
      </c>
      <c r="E46" s="9">
        <v>46.32</v>
      </c>
      <c r="F46" s="16">
        <f>(C46-E46)/E46</f>
        <v>0.17832469775474952</v>
      </c>
      <c r="G46" s="40"/>
      <c r="H46" s="16"/>
      <c r="I46" s="16"/>
      <c r="J46" s="9">
        <v>22.46</v>
      </c>
      <c r="K46" s="9">
        <f t="shared" si="0"/>
        <v>31.443999999999999</v>
      </c>
      <c r="L46" s="16">
        <f t="shared" si="1"/>
        <v>0.73578425136751047</v>
      </c>
    </row>
    <row r="47" spans="1:12">
      <c r="A47" s="1" t="s">
        <v>3766</v>
      </c>
      <c r="B47" s="7">
        <v>35.22</v>
      </c>
      <c r="C47" s="7">
        <v>58.38</v>
      </c>
      <c r="D47" s="16">
        <f>(C47-B47)/B47</f>
        <v>0.65758091993185708</v>
      </c>
      <c r="E47" s="9">
        <v>46.32</v>
      </c>
      <c r="F47" s="16">
        <f>(C47-E47)/E47</f>
        <v>0.26036269430051817</v>
      </c>
      <c r="G47" s="40"/>
      <c r="H47" s="16"/>
      <c r="I47" s="16"/>
      <c r="J47" s="9">
        <v>22.46</v>
      </c>
      <c r="K47" s="9">
        <f t="shared" si="0"/>
        <v>31.443999999999999</v>
      </c>
      <c r="L47" s="16">
        <f t="shared" si="1"/>
        <v>0.8566340160284952</v>
      </c>
    </row>
    <row r="48" spans="1:12">
      <c r="A48" s="1"/>
      <c r="B48" s="7"/>
      <c r="C48" s="7"/>
      <c r="D48" s="16"/>
      <c r="E48" s="9"/>
      <c r="F48" s="16"/>
      <c r="G48" s="40"/>
      <c r="H48" s="16"/>
      <c r="I48" s="16"/>
      <c r="J48" s="9"/>
      <c r="K48" s="9">
        <f t="shared" si="0"/>
        <v>0</v>
      </c>
      <c r="L48" s="16"/>
    </row>
    <row r="49" spans="1:12">
      <c r="A49" s="2" t="s">
        <v>3541</v>
      </c>
      <c r="B49" s="11" t="s">
        <v>3534</v>
      </c>
      <c r="C49" s="33" t="s">
        <v>3534</v>
      </c>
      <c r="D49" s="43"/>
      <c r="E49" s="44"/>
      <c r="F49" s="43"/>
      <c r="G49" s="23" t="s">
        <v>3983</v>
      </c>
      <c r="H49" s="43">
        <f>AVERAGE(F50:F51)</f>
        <v>0.13484470327232381</v>
      </c>
      <c r="I49" s="43"/>
      <c r="J49" s="44"/>
      <c r="K49" s="9">
        <f t="shared" si="0"/>
        <v>0</v>
      </c>
      <c r="L49" s="43"/>
    </row>
    <row r="50" spans="1:12" ht="25.5">
      <c r="A50" s="1" t="s">
        <v>3542</v>
      </c>
      <c r="B50" s="7">
        <v>46.01</v>
      </c>
      <c r="C50" s="7">
        <v>78.209999999999994</v>
      </c>
      <c r="D50" s="16">
        <f>(C50-B50)/B50</f>
        <v>0.69984785916105186</v>
      </c>
      <c r="E50" s="9">
        <v>72.12</v>
      </c>
      <c r="F50" s="16">
        <f>(C50-E50)/E50</f>
        <v>8.4442595673876714E-2</v>
      </c>
      <c r="G50" s="40"/>
      <c r="H50" s="16"/>
      <c r="I50" s="16"/>
      <c r="J50" s="9"/>
      <c r="K50" s="9">
        <f t="shared" si="0"/>
        <v>0</v>
      </c>
      <c r="L50" s="16"/>
    </row>
    <row r="51" spans="1:12">
      <c r="A51" s="1" t="s">
        <v>3543</v>
      </c>
      <c r="B51" s="7">
        <v>46.01</v>
      </c>
      <c r="C51" s="7">
        <v>85.48</v>
      </c>
      <c r="D51" s="16">
        <f>(C51-B51)/B51</f>
        <v>0.85785698761138895</v>
      </c>
      <c r="E51" s="9">
        <v>72.12</v>
      </c>
      <c r="F51" s="16">
        <f>(C51-E51)/E51</f>
        <v>0.18524681087077091</v>
      </c>
      <c r="G51" s="40"/>
      <c r="H51" s="16"/>
      <c r="I51" s="16"/>
      <c r="J51" s="9"/>
      <c r="K51" s="9">
        <f t="shared" si="0"/>
        <v>0</v>
      </c>
      <c r="L51" s="16"/>
    </row>
    <row r="52" spans="1:12">
      <c r="A52" s="1"/>
      <c r="B52" s="7"/>
      <c r="C52" s="7"/>
      <c r="D52" s="16"/>
      <c r="E52" s="9"/>
      <c r="F52" s="16"/>
      <c r="G52" s="40"/>
      <c r="H52" s="16"/>
      <c r="I52" s="16"/>
      <c r="J52" s="9"/>
      <c r="K52" s="9">
        <f t="shared" si="0"/>
        <v>0</v>
      </c>
      <c r="L52" s="16"/>
    </row>
    <row r="53" spans="1:12">
      <c r="A53" s="2" t="s">
        <v>3544</v>
      </c>
      <c r="B53" s="7"/>
      <c r="C53" s="31"/>
      <c r="D53" s="43"/>
      <c r="E53" s="44"/>
      <c r="F53" s="43"/>
      <c r="G53" s="23" t="s">
        <v>3984</v>
      </c>
      <c r="H53" s="43"/>
      <c r="I53" s="43">
        <f>AVERAGE(F54)</f>
        <v>0</v>
      </c>
      <c r="J53" s="44"/>
      <c r="K53" s="9">
        <f t="shared" si="0"/>
        <v>0</v>
      </c>
      <c r="L53" s="43"/>
    </row>
    <row r="54" spans="1:12">
      <c r="A54" s="1" t="s">
        <v>3545</v>
      </c>
      <c r="B54" s="7">
        <v>32.72</v>
      </c>
      <c r="C54" s="7">
        <v>43.19</v>
      </c>
      <c r="D54" s="16">
        <f>(C54-B54)/B54</f>
        <v>0.31998777506112469</v>
      </c>
      <c r="E54" s="9">
        <v>43.19</v>
      </c>
      <c r="F54" s="16">
        <f>(C54-E54)/E54</f>
        <v>0</v>
      </c>
      <c r="G54" s="40"/>
      <c r="H54" s="16"/>
      <c r="I54" s="16"/>
      <c r="J54" s="9"/>
      <c r="K54" s="9">
        <f t="shared" si="0"/>
        <v>0</v>
      </c>
      <c r="L54" s="16"/>
    </row>
    <row r="55" spans="1:12">
      <c r="A55" s="1"/>
      <c r="B55" s="7"/>
      <c r="C55" s="7"/>
      <c r="D55" s="16"/>
      <c r="E55" s="9"/>
      <c r="F55" s="16"/>
      <c r="G55" s="40"/>
      <c r="H55" s="16"/>
      <c r="I55" s="16"/>
      <c r="J55" s="9"/>
      <c r="K55" s="9">
        <f t="shared" si="0"/>
        <v>0</v>
      </c>
      <c r="L55" s="16"/>
    </row>
    <row r="56" spans="1:12" ht="51">
      <c r="A56" s="2" t="s">
        <v>3546</v>
      </c>
      <c r="B56" s="12" t="s">
        <v>3682</v>
      </c>
      <c r="C56" s="12" t="s">
        <v>3682</v>
      </c>
      <c r="D56" s="43"/>
      <c r="E56" s="44"/>
      <c r="F56" s="43"/>
      <c r="G56" s="23"/>
      <c r="H56" s="43"/>
      <c r="I56" s="43"/>
      <c r="J56" s="44"/>
      <c r="K56" s="9">
        <f t="shared" si="0"/>
        <v>0</v>
      </c>
      <c r="L56" s="43"/>
    </row>
    <row r="57" spans="1:12">
      <c r="A57" s="1" t="s">
        <v>3548</v>
      </c>
      <c r="B57" s="7">
        <v>27.95</v>
      </c>
      <c r="C57" s="7">
        <v>27.95</v>
      </c>
      <c r="D57" s="16">
        <f>(C57-B57)/B57</f>
        <v>0</v>
      </c>
      <c r="E57" s="9"/>
      <c r="F57" s="16"/>
      <c r="G57" s="40"/>
      <c r="H57" s="16"/>
      <c r="I57" s="16"/>
      <c r="J57" s="9"/>
      <c r="K57" s="9">
        <f t="shared" si="0"/>
        <v>0</v>
      </c>
      <c r="L57" s="16"/>
    </row>
    <row r="58" spans="1:12">
      <c r="A58" s="1"/>
      <c r="B58" s="7"/>
      <c r="C58" s="7"/>
      <c r="D58" s="16"/>
      <c r="E58" s="9"/>
      <c r="F58" s="16"/>
      <c r="G58" s="40"/>
      <c r="H58" s="16"/>
      <c r="I58" s="16"/>
      <c r="J58" s="9"/>
      <c r="K58" s="9">
        <f t="shared" si="0"/>
        <v>0</v>
      </c>
      <c r="L58" s="16"/>
    </row>
    <row r="59" spans="1:12">
      <c r="A59" s="2" t="s">
        <v>3549</v>
      </c>
      <c r="B59" s="7"/>
      <c r="C59" s="31"/>
      <c r="D59" s="43"/>
      <c r="E59" s="44"/>
      <c r="F59" s="43"/>
      <c r="G59" s="23" t="s">
        <v>3983</v>
      </c>
      <c r="H59" s="43">
        <f>AVERAGE(F60:F61)</f>
        <v>3.6491324703938281E-2</v>
      </c>
      <c r="I59" s="43"/>
      <c r="J59" s="44"/>
      <c r="K59" s="9">
        <f t="shared" si="0"/>
        <v>0</v>
      </c>
      <c r="L59" s="43"/>
    </row>
    <row r="60" spans="1:12">
      <c r="A60" s="1" t="s">
        <v>3550</v>
      </c>
      <c r="B60" s="7">
        <v>36.26</v>
      </c>
      <c r="C60" s="7">
        <v>36.340000000000003</v>
      </c>
      <c r="D60" s="16">
        <f>(C60-B60)/B60</f>
        <v>2.2062879205737838E-3</v>
      </c>
      <c r="E60" s="9">
        <v>36.31</v>
      </c>
      <c r="F60" s="16">
        <f>(C60-E60)/E60</f>
        <v>8.2621867254203073E-4</v>
      </c>
      <c r="G60" s="40"/>
      <c r="H60" s="16"/>
      <c r="I60" s="16"/>
      <c r="J60" s="9"/>
      <c r="K60" s="9">
        <f t="shared" si="0"/>
        <v>0</v>
      </c>
      <c r="L60" s="16"/>
    </row>
    <row r="61" spans="1:12">
      <c r="A61" s="1" t="s">
        <v>3551</v>
      </c>
      <c r="B61" s="7">
        <v>38.9</v>
      </c>
      <c r="C61" s="7">
        <v>38.93</v>
      </c>
      <c r="D61" s="16">
        <f>(C61-B61)/B61</f>
        <v>7.7120822622110891E-4</v>
      </c>
      <c r="E61" s="9">
        <v>36.31</v>
      </c>
      <c r="F61" s="16">
        <f>(C61-E61)/E61</f>
        <v>7.2156430735334537E-2</v>
      </c>
      <c r="G61" s="40"/>
      <c r="H61" s="16"/>
      <c r="I61" s="16"/>
      <c r="J61" s="9"/>
      <c r="K61" s="9">
        <f t="shared" si="0"/>
        <v>0</v>
      </c>
      <c r="L61" s="16"/>
    </row>
    <row r="62" spans="1:12">
      <c r="A62" s="1"/>
      <c r="B62" s="7"/>
      <c r="C62" s="7"/>
      <c r="D62" s="16"/>
      <c r="E62" s="9"/>
      <c r="F62" s="16"/>
      <c r="G62" s="40"/>
      <c r="H62" s="16"/>
      <c r="I62" s="16"/>
      <c r="J62" s="9"/>
      <c r="K62" s="9">
        <f t="shared" si="0"/>
        <v>0</v>
      </c>
      <c r="L62" s="16"/>
    </row>
    <row r="63" spans="1:12">
      <c r="A63" s="2" t="s">
        <v>3552</v>
      </c>
      <c r="B63" s="11" t="s">
        <v>3534</v>
      </c>
      <c r="C63" s="33" t="s">
        <v>3534</v>
      </c>
      <c r="D63" s="43"/>
      <c r="E63" s="44"/>
      <c r="F63" s="43"/>
      <c r="G63" s="23" t="s">
        <v>3984</v>
      </c>
      <c r="H63" s="43"/>
      <c r="I63" s="43">
        <f>AVERAGE(F64)</f>
        <v>-2.8896257697773542E-2</v>
      </c>
      <c r="J63" s="44"/>
      <c r="K63" s="9">
        <f t="shared" si="0"/>
        <v>0</v>
      </c>
      <c r="L63" s="43"/>
    </row>
    <row r="64" spans="1:12">
      <c r="A64" s="1" t="s">
        <v>3553</v>
      </c>
      <c r="B64" s="7">
        <v>21.5</v>
      </c>
      <c r="C64" s="7">
        <v>20.5</v>
      </c>
      <c r="D64" s="16">
        <f>(C64-B64)/B64</f>
        <v>-4.6511627906976744E-2</v>
      </c>
      <c r="E64" s="9">
        <v>21.11</v>
      </c>
      <c r="F64" s="16">
        <f>(C64-E64)/E64</f>
        <v>-2.8896257697773542E-2</v>
      </c>
      <c r="G64" s="40"/>
      <c r="H64" s="16"/>
      <c r="I64" s="16"/>
      <c r="J64" s="9"/>
      <c r="K64" s="9">
        <f t="shared" si="0"/>
        <v>0</v>
      </c>
      <c r="L64" s="16"/>
    </row>
    <row r="65" spans="1:12">
      <c r="A65" s="1"/>
      <c r="B65" s="7"/>
      <c r="C65" s="7"/>
      <c r="D65" s="16"/>
      <c r="E65" s="9"/>
      <c r="F65" s="16"/>
      <c r="G65" s="40"/>
      <c r="H65" s="16"/>
      <c r="I65" s="16"/>
      <c r="J65" s="9"/>
      <c r="K65" s="9">
        <f t="shared" si="0"/>
        <v>0</v>
      </c>
      <c r="L65" s="16"/>
    </row>
    <row r="66" spans="1:12" ht="51">
      <c r="A66" s="2" t="s">
        <v>3554</v>
      </c>
      <c r="B66" s="12" t="s">
        <v>3547</v>
      </c>
      <c r="C66" s="12" t="s">
        <v>3547</v>
      </c>
      <c r="D66" s="43"/>
      <c r="E66" s="44"/>
      <c r="F66" s="43"/>
      <c r="G66" s="23" t="s">
        <v>3983</v>
      </c>
      <c r="H66" s="43">
        <f>AVERAGE(F67)</f>
        <v>0</v>
      </c>
      <c r="I66" s="43"/>
      <c r="J66" s="44"/>
      <c r="K66" s="9">
        <f t="shared" si="0"/>
        <v>0</v>
      </c>
      <c r="L66" s="43"/>
    </row>
    <row r="67" spans="1:12">
      <c r="A67" s="1" t="s">
        <v>3555</v>
      </c>
      <c r="B67" s="7">
        <v>33.57</v>
      </c>
      <c r="C67" s="7">
        <v>33.57</v>
      </c>
      <c r="D67" s="16">
        <f>(C67-B67)/B67</f>
        <v>0</v>
      </c>
      <c r="E67" s="9">
        <v>33.57</v>
      </c>
      <c r="F67" s="16">
        <f>(C67-E67)/E67</f>
        <v>0</v>
      </c>
      <c r="G67" s="40"/>
      <c r="H67" s="16"/>
      <c r="I67" s="16"/>
      <c r="J67" s="9"/>
      <c r="K67" s="9">
        <f t="shared" si="0"/>
        <v>0</v>
      </c>
      <c r="L67" s="16"/>
    </row>
    <row r="68" spans="1:12">
      <c r="A68" s="143"/>
      <c r="B68" s="143"/>
      <c r="C68" s="7"/>
      <c r="D68" s="16"/>
      <c r="E68" s="9"/>
      <c r="F68" s="16"/>
      <c r="G68" s="40"/>
      <c r="H68" s="16"/>
      <c r="I68" s="16"/>
      <c r="J68" s="9"/>
      <c r="K68" s="9">
        <f t="shared" si="0"/>
        <v>0</v>
      </c>
      <c r="L68" s="16"/>
    </row>
    <row r="69" spans="1:12" ht="38.25">
      <c r="A69" s="2" t="s">
        <v>3556</v>
      </c>
      <c r="B69" s="12" t="s">
        <v>3510</v>
      </c>
      <c r="C69" s="55" t="s">
        <v>4006</v>
      </c>
      <c r="D69" s="43"/>
      <c r="E69" s="44"/>
      <c r="F69" s="43"/>
      <c r="G69" s="23" t="s">
        <v>3983</v>
      </c>
      <c r="H69" s="43">
        <f>AVERAGE(F70:F71)</f>
        <v>8.3056478405315604E-3</v>
      </c>
      <c r="I69" s="43"/>
      <c r="J69" s="44"/>
      <c r="K69" s="9">
        <f t="shared" si="0"/>
        <v>0</v>
      </c>
      <c r="L69" s="43"/>
    </row>
    <row r="70" spans="1:12">
      <c r="A70" s="1" t="s">
        <v>3557</v>
      </c>
      <c r="B70" s="7">
        <v>30.1</v>
      </c>
      <c r="C70" s="7">
        <v>30.1</v>
      </c>
      <c r="D70" s="16">
        <f>(C70-B70)/B70</f>
        <v>0</v>
      </c>
      <c r="E70" s="9">
        <v>30.1</v>
      </c>
      <c r="F70" s="16">
        <f t="shared" ref="F70:F133" si="2">(C70-E70)/E70</f>
        <v>0</v>
      </c>
      <c r="G70" s="40"/>
      <c r="H70" s="16"/>
      <c r="I70" s="16"/>
      <c r="J70" s="9"/>
      <c r="K70" s="9">
        <f t="shared" si="0"/>
        <v>0</v>
      </c>
      <c r="L70" s="16"/>
    </row>
    <row r="71" spans="1:12">
      <c r="A71" s="1" t="s">
        <v>3683</v>
      </c>
      <c r="B71" s="7">
        <v>30.6</v>
      </c>
      <c r="C71" s="7">
        <v>30.6</v>
      </c>
      <c r="D71" s="16">
        <f>(C71-B71)/B71</f>
        <v>0</v>
      </c>
      <c r="E71" s="9">
        <v>30.1</v>
      </c>
      <c r="F71" s="16">
        <f t="shared" si="2"/>
        <v>1.6611295681063121E-2</v>
      </c>
      <c r="G71" s="40"/>
      <c r="H71" s="16"/>
      <c r="I71" s="16"/>
      <c r="J71" s="9"/>
      <c r="K71" s="9">
        <f t="shared" si="0"/>
        <v>0</v>
      </c>
      <c r="L71" s="16"/>
    </row>
    <row r="72" spans="1:12">
      <c r="A72" s="143"/>
      <c r="B72" s="143"/>
      <c r="C72" s="7"/>
      <c r="D72" s="16"/>
      <c r="E72" s="9"/>
      <c r="F72" s="16"/>
      <c r="G72" s="40"/>
      <c r="H72" s="16"/>
      <c r="I72" s="16"/>
      <c r="J72" s="9"/>
      <c r="K72" s="9">
        <f t="shared" si="0"/>
        <v>0</v>
      </c>
      <c r="L72" s="16"/>
    </row>
    <row r="73" spans="1:12" ht="38.25">
      <c r="A73" s="2" t="s">
        <v>3684</v>
      </c>
      <c r="B73" s="12" t="s">
        <v>3510</v>
      </c>
      <c r="C73" s="55" t="s">
        <v>4006</v>
      </c>
      <c r="D73" s="43"/>
      <c r="E73" s="44"/>
      <c r="F73" s="16"/>
      <c r="G73" s="23" t="s">
        <v>3983</v>
      </c>
      <c r="H73" s="43">
        <f>AVERAGE(F74:F76)</f>
        <v>3.8112164296998416E-2</v>
      </c>
      <c r="I73" s="43"/>
      <c r="J73" s="44"/>
      <c r="K73" s="9">
        <f t="shared" si="0"/>
        <v>0</v>
      </c>
      <c r="L73" s="43"/>
    </row>
    <row r="74" spans="1:12">
      <c r="A74" s="1" t="s">
        <v>3560</v>
      </c>
      <c r="B74" s="7">
        <v>33.76</v>
      </c>
      <c r="C74" s="7">
        <v>34.26</v>
      </c>
      <c r="D74" s="16">
        <f>(C74-B74)/B74</f>
        <v>1.481042654028436E-2</v>
      </c>
      <c r="E74" s="9">
        <v>33.76</v>
      </c>
      <c r="F74" s="16">
        <f t="shared" si="2"/>
        <v>1.481042654028436E-2</v>
      </c>
      <c r="G74" s="40"/>
      <c r="H74" s="16"/>
      <c r="I74" s="16"/>
      <c r="J74" s="9"/>
      <c r="K74" s="9">
        <f t="shared" si="0"/>
        <v>0</v>
      </c>
      <c r="L74" s="16"/>
    </row>
    <row r="75" spans="1:12">
      <c r="A75" s="1" t="s">
        <v>3909</v>
      </c>
      <c r="B75" s="7">
        <v>34.76</v>
      </c>
      <c r="C75" s="7">
        <v>35.26</v>
      </c>
      <c r="D75" s="16">
        <f>(C75-B75)/B75</f>
        <v>1.4384349827387804E-2</v>
      </c>
      <c r="E75" s="9">
        <v>33.76</v>
      </c>
      <c r="F75" s="16">
        <f t="shared" si="2"/>
        <v>4.4431279620853081E-2</v>
      </c>
      <c r="G75" s="40"/>
      <c r="H75" s="16"/>
      <c r="I75" s="16"/>
      <c r="J75" s="9"/>
      <c r="K75" s="9">
        <f t="shared" si="0"/>
        <v>0</v>
      </c>
      <c r="L75" s="16"/>
    </row>
    <row r="76" spans="1:12">
      <c r="A76" s="1" t="s">
        <v>3562</v>
      </c>
      <c r="B76" s="7">
        <v>35.119999999999997</v>
      </c>
      <c r="C76" s="7">
        <v>35.619999999999997</v>
      </c>
      <c r="D76" s="16">
        <f>(C76-B76)/B76</f>
        <v>1.4236902050113897E-2</v>
      </c>
      <c r="E76" s="9">
        <v>33.76</v>
      </c>
      <c r="F76" s="16">
        <f t="shared" si="2"/>
        <v>5.5094786729857806E-2</v>
      </c>
      <c r="G76" s="40"/>
      <c r="H76" s="16"/>
      <c r="I76" s="16"/>
      <c r="J76" s="9"/>
      <c r="K76" s="9">
        <f t="shared" si="0"/>
        <v>0</v>
      </c>
      <c r="L76" s="16"/>
    </row>
    <row r="77" spans="1:12">
      <c r="A77" s="1"/>
      <c r="B77" s="7"/>
      <c r="C77" s="7"/>
      <c r="D77" s="16"/>
      <c r="E77" s="9"/>
      <c r="F77" s="16"/>
      <c r="G77" s="40"/>
      <c r="H77" s="16"/>
      <c r="I77" s="16"/>
      <c r="J77" s="9"/>
      <c r="K77" s="9">
        <f t="shared" si="0"/>
        <v>0</v>
      </c>
      <c r="L77" s="16"/>
    </row>
    <row r="78" spans="1:12" ht="38.25">
      <c r="A78" s="2" t="s">
        <v>3563</v>
      </c>
      <c r="B78" s="12" t="s">
        <v>3564</v>
      </c>
      <c r="C78" s="31"/>
      <c r="D78" s="43"/>
      <c r="E78" s="44"/>
      <c r="F78" s="16"/>
      <c r="G78" s="23" t="s">
        <v>3983</v>
      </c>
      <c r="H78" s="43">
        <f>AVERAGE(F79:F81)</f>
        <v>4.7984644913627604E-2</v>
      </c>
      <c r="I78" s="43"/>
      <c r="J78" s="44"/>
      <c r="K78" s="9">
        <f t="shared" si="0"/>
        <v>0</v>
      </c>
      <c r="L78" s="43"/>
    </row>
    <row r="79" spans="1:12">
      <c r="A79" s="1" t="s">
        <v>3565</v>
      </c>
      <c r="B79" s="7">
        <v>54.38</v>
      </c>
      <c r="C79" s="7">
        <v>56.74</v>
      </c>
      <c r="D79" s="16">
        <f>(C79-B79)/B79</f>
        <v>4.3398308201544673E-2</v>
      </c>
      <c r="E79" s="9">
        <v>57.31</v>
      </c>
      <c r="F79" s="16">
        <f t="shared" si="2"/>
        <v>-9.9459082184610061E-3</v>
      </c>
      <c r="G79" s="40"/>
      <c r="H79" s="16"/>
      <c r="I79" s="16"/>
      <c r="J79" s="9"/>
      <c r="K79" s="9">
        <f t="shared" si="0"/>
        <v>0</v>
      </c>
      <c r="L79" s="16"/>
    </row>
    <row r="80" spans="1:12">
      <c r="A80" s="1" t="s">
        <v>3566</v>
      </c>
      <c r="B80" s="7">
        <v>57.68</v>
      </c>
      <c r="C80" s="7">
        <v>60.04</v>
      </c>
      <c r="D80" s="16">
        <f>(C80-B80)/B80</f>
        <v>4.0915395284327312E-2</v>
      </c>
      <c r="E80" s="9">
        <v>57.31</v>
      </c>
      <c r="F80" s="16">
        <f t="shared" si="2"/>
        <v>4.7635665677892111E-2</v>
      </c>
      <c r="G80" s="40"/>
      <c r="H80" s="16"/>
      <c r="I80" s="16"/>
      <c r="J80" s="9"/>
      <c r="K80" s="9">
        <f t="shared" si="0"/>
        <v>0</v>
      </c>
      <c r="L80" s="16"/>
    </row>
    <row r="81" spans="1:12">
      <c r="A81" s="1" t="s">
        <v>3567</v>
      </c>
      <c r="B81" s="7">
        <v>61.04</v>
      </c>
      <c r="C81" s="7">
        <v>63.4</v>
      </c>
      <c r="D81" s="16">
        <f>(C81-B81)/B81</f>
        <v>3.8663171690694616E-2</v>
      </c>
      <c r="E81" s="9">
        <v>57.31</v>
      </c>
      <c r="F81" s="16">
        <f t="shared" si="2"/>
        <v>0.10626417728145168</v>
      </c>
      <c r="G81" s="40"/>
      <c r="H81" s="16"/>
      <c r="I81" s="16"/>
      <c r="J81" s="9"/>
      <c r="K81" s="9">
        <f t="shared" si="0"/>
        <v>0</v>
      </c>
      <c r="L81" s="16"/>
    </row>
    <row r="82" spans="1:12">
      <c r="A82" s="143"/>
      <c r="B82" s="143"/>
      <c r="C82" s="7"/>
      <c r="D82" s="16"/>
      <c r="E82" s="9"/>
      <c r="F82" s="16"/>
      <c r="G82" s="40"/>
      <c r="H82" s="16"/>
      <c r="I82" s="16"/>
      <c r="J82" s="9"/>
      <c r="K82" s="9">
        <f t="shared" si="0"/>
        <v>0</v>
      </c>
      <c r="L82" s="16"/>
    </row>
    <row r="83" spans="1:12" ht="25.5" customHeight="1">
      <c r="A83" s="2" t="s">
        <v>3568</v>
      </c>
      <c r="B83" s="147" t="s">
        <v>3510</v>
      </c>
      <c r="C83" s="147" t="s">
        <v>3510</v>
      </c>
      <c r="D83" s="43"/>
      <c r="E83" s="44"/>
      <c r="F83" s="16"/>
      <c r="G83" s="23" t="s">
        <v>3983</v>
      </c>
      <c r="H83" s="43">
        <f>AVERAGE(F84:F98)</f>
        <v>-1.7689275245123062E-3</v>
      </c>
      <c r="I83" s="43"/>
      <c r="J83" s="44"/>
      <c r="K83" s="9">
        <f t="shared" si="0"/>
        <v>0</v>
      </c>
      <c r="L83" s="43"/>
    </row>
    <row r="84" spans="1:12">
      <c r="A84" s="3" t="s">
        <v>3569</v>
      </c>
      <c r="B84" s="147"/>
      <c r="C84" s="147"/>
      <c r="D84" s="16"/>
      <c r="E84" s="9"/>
      <c r="F84" s="16"/>
      <c r="G84" s="40"/>
      <c r="H84" s="16"/>
      <c r="I84" s="16"/>
      <c r="J84" s="9"/>
      <c r="K84" s="9">
        <f t="shared" si="0"/>
        <v>0</v>
      </c>
      <c r="L84" s="16"/>
    </row>
    <row r="85" spans="1:12">
      <c r="A85" s="1" t="s">
        <v>3571</v>
      </c>
      <c r="B85" s="7">
        <v>25.66</v>
      </c>
      <c r="C85" s="7">
        <v>25.66</v>
      </c>
      <c r="D85" s="16">
        <f t="shared" ref="D85:D93" si="3">(C85-B85)/B85</f>
        <v>0</v>
      </c>
      <c r="E85" s="9">
        <v>30.44</v>
      </c>
      <c r="F85" s="16">
        <f t="shared" si="2"/>
        <v>-0.15703022339027597</v>
      </c>
      <c r="G85" s="40"/>
      <c r="H85" s="16"/>
      <c r="I85" s="16"/>
      <c r="J85" s="9">
        <v>18.37</v>
      </c>
      <c r="K85" s="9">
        <f t="shared" si="0"/>
        <v>25.718</v>
      </c>
      <c r="L85" s="16">
        <f>(C85-K85)/K85</f>
        <v>-2.255229800139973E-3</v>
      </c>
    </row>
    <row r="86" spans="1:12">
      <c r="A86" s="1" t="s">
        <v>3572</v>
      </c>
      <c r="B86" s="7">
        <v>27.16</v>
      </c>
      <c r="C86" s="7">
        <v>27.16</v>
      </c>
      <c r="D86" s="16">
        <f t="shared" si="3"/>
        <v>0</v>
      </c>
      <c r="E86" s="9">
        <v>30.44</v>
      </c>
      <c r="F86" s="16">
        <f t="shared" si="2"/>
        <v>-0.10775295663600529</v>
      </c>
      <c r="G86" s="40"/>
      <c r="H86" s="16"/>
      <c r="I86" s="16"/>
      <c r="J86" s="9">
        <v>18.37</v>
      </c>
      <c r="K86" s="9">
        <f t="shared" ref="K86:K149" si="4">J86*1.4</f>
        <v>25.718</v>
      </c>
      <c r="L86" s="16">
        <f t="shared" ref="L86:L98" si="5">(C86-K86)/K86</f>
        <v>5.6069678824169848E-2</v>
      </c>
    </row>
    <row r="87" spans="1:12">
      <c r="A87" s="1" t="s">
        <v>3573</v>
      </c>
      <c r="B87" s="7">
        <v>30.82</v>
      </c>
      <c r="C87" s="7">
        <v>30.82</v>
      </c>
      <c r="D87" s="16">
        <f t="shared" si="3"/>
        <v>0</v>
      </c>
      <c r="E87" s="9">
        <v>30.44</v>
      </c>
      <c r="F87" s="16">
        <f t="shared" si="2"/>
        <v>1.2483574244415209E-2</v>
      </c>
      <c r="G87" s="40"/>
      <c r="H87" s="16"/>
      <c r="I87" s="16"/>
      <c r="J87" s="9">
        <v>18.37</v>
      </c>
      <c r="K87" s="9">
        <f t="shared" si="4"/>
        <v>25.718</v>
      </c>
      <c r="L87" s="16">
        <f t="shared" si="5"/>
        <v>0.19838245586748582</v>
      </c>
    </row>
    <row r="88" spans="1:12">
      <c r="A88" s="1" t="s">
        <v>3574</v>
      </c>
      <c r="B88" s="7">
        <v>27.95</v>
      </c>
      <c r="C88" s="7">
        <v>27.95</v>
      </c>
      <c r="D88" s="16">
        <f t="shared" si="3"/>
        <v>0</v>
      </c>
      <c r="E88" s="9">
        <v>30.44</v>
      </c>
      <c r="F88" s="16">
        <f t="shared" si="2"/>
        <v>-8.1800262812089422E-2</v>
      </c>
      <c r="G88" s="40"/>
      <c r="H88" s="16"/>
      <c r="I88" s="16"/>
      <c r="J88" s="9">
        <v>18.37</v>
      </c>
      <c r="K88" s="9">
        <f t="shared" si="4"/>
        <v>25.718</v>
      </c>
      <c r="L88" s="16">
        <f t="shared" si="5"/>
        <v>8.6787464032972994E-2</v>
      </c>
    </row>
    <row r="89" spans="1:12">
      <c r="A89" s="1" t="s">
        <v>3575</v>
      </c>
      <c r="B89" s="7">
        <v>30.92</v>
      </c>
      <c r="C89" s="7">
        <v>30.92</v>
      </c>
      <c r="D89" s="16">
        <f t="shared" si="3"/>
        <v>0</v>
      </c>
      <c r="E89" s="9">
        <v>30.44</v>
      </c>
      <c r="F89" s="16">
        <f t="shared" si="2"/>
        <v>1.5768725361366635E-2</v>
      </c>
      <c r="G89" s="40"/>
      <c r="H89" s="16"/>
      <c r="I89" s="16"/>
      <c r="J89" s="9">
        <v>18.37</v>
      </c>
      <c r="K89" s="9">
        <f t="shared" si="4"/>
        <v>25.718</v>
      </c>
      <c r="L89" s="16">
        <f t="shared" si="5"/>
        <v>0.20227078310910654</v>
      </c>
    </row>
    <row r="90" spans="1:12">
      <c r="A90" s="1" t="s">
        <v>3576</v>
      </c>
      <c r="B90" s="7">
        <v>31.07</v>
      </c>
      <c r="C90" s="7">
        <v>31.07</v>
      </c>
      <c r="D90" s="16">
        <f t="shared" si="3"/>
        <v>0</v>
      </c>
      <c r="E90" s="9">
        <v>30.44</v>
      </c>
      <c r="F90" s="16">
        <f t="shared" si="2"/>
        <v>2.0696452036793659E-2</v>
      </c>
      <c r="G90" s="40"/>
      <c r="H90" s="16"/>
      <c r="I90" s="16"/>
      <c r="J90" s="9">
        <v>18.37</v>
      </c>
      <c r="K90" s="9">
        <f t="shared" si="4"/>
        <v>25.718</v>
      </c>
      <c r="L90" s="16">
        <f t="shared" si="5"/>
        <v>0.20810327397153747</v>
      </c>
    </row>
    <row r="91" spans="1:12">
      <c r="A91" s="1" t="s">
        <v>3577</v>
      </c>
      <c r="B91" s="7">
        <v>31.32</v>
      </c>
      <c r="C91" s="7">
        <v>31.32</v>
      </c>
      <c r="D91" s="16">
        <f t="shared" si="3"/>
        <v>0</v>
      </c>
      <c r="E91" s="9">
        <v>30.44</v>
      </c>
      <c r="F91" s="16">
        <f t="shared" si="2"/>
        <v>2.8909329829172107E-2</v>
      </c>
      <c r="G91" s="40"/>
      <c r="H91" s="16"/>
      <c r="I91" s="16"/>
      <c r="J91" s="9">
        <v>18.37</v>
      </c>
      <c r="K91" s="9">
        <f t="shared" si="4"/>
        <v>25.718</v>
      </c>
      <c r="L91" s="16">
        <f t="shared" si="5"/>
        <v>0.21782409207558909</v>
      </c>
    </row>
    <row r="92" spans="1:12">
      <c r="A92" s="1" t="s">
        <v>3578</v>
      </c>
      <c r="B92" s="7">
        <v>32.57</v>
      </c>
      <c r="C92" s="7">
        <v>32.57</v>
      </c>
      <c r="D92" s="16">
        <f t="shared" si="3"/>
        <v>0</v>
      </c>
      <c r="E92" s="9">
        <v>30.44</v>
      </c>
      <c r="F92" s="16">
        <f t="shared" si="2"/>
        <v>6.9973718791064357E-2</v>
      </c>
      <c r="G92" s="40"/>
      <c r="H92" s="16"/>
      <c r="I92" s="16"/>
      <c r="J92" s="9">
        <v>18.37</v>
      </c>
      <c r="K92" s="9">
        <f t="shared" si="4"/>
        <v>25.718</v>
      </c>
      <c r="L92" s="16">
        <f t="shared" si="5"/>
        <v>0.26642818259584727</v>
      </c>
    </row>
    <row r="93" spans="1:12">
      <c r="A93" s="1" t="s">
        <v>3579</v>
      </c>
      <c r="B93" s="7">
        <v>31.62</v>
      </c>
      <c r="C93" s="7">
        <v>31.62</v>
      </c>
      <c r="D93" s="16">
        <f t="shared" si="3"/>
        <v>0</v>
      </c>
      <c r="E93" s="9">
        <v>30.44</v>
      </c>
      <c r="F93" s="16">
        <f t="shared" si="2"/>
        <v>3.8764783180026269E-2</v>
      </c>
      <c r="G93" s="40"/>
      <c r="H93" s="16"/>
      <c r="I93" s="16"/>
      <c r="J93" s="9">
        <v>18.37</v>
      </c>
      <c r="K93" s="9">
        <f t="shared" si="4"/>
        <v>25.718</v>
      </c>
      <c r="L93" s="16">
        <f t="shared" si="5"/>
        <v>0.22948907380045108</v>
      </c>
    </row>
    <row r="94" spans="1:12">
      <c r="A94" s="1" t="s">
        <v>3580</v>
      </c>
      <c r="B94" s="7"/>
      <c r="C94" s="7"/>
      <c r="D94" s="16"/>
      <c r="E94" s="9"/>
      <c r="F94" s="16"/>
      <c r="G94" s="40"/>
      <c r="H94" s="16"/>
      <c r="I94" s="16"/>
      <c r="J94" s="9"/>
      <c r="K94" s="9">
        <f t="shared" si="4"/>
        <v>0</v>
      </c>
      <c r="L94" s="16"/>
    </row>
    <row r="95" spans="1:12">
      <c r="A95" s="1" t="s">
        <v>3581</v>
      </c>
      <c r="B95" s="7">
        <v>31.62</v>
      </c>
      <c r="C95" s="7">
        <v>31.62</v>
      </c>
      <c r="D95" s="16">
        <f>(C95-B95)/B95</f>
        <v>0</v>
      </c>
      <c r="E95" s="9">
        <v>30.44</v>
      </c>
      <c r="F95" s="16">
        <f t="shared" si="2"/>
        <v>3.8764783180026269E-2</v>
      </c>
      <c r="G95" s="40"/>
      <c r="H95" s="16"/>
      <c r="I95" s="16"/>
      <c r="J95" s="9">
        <v>18.37</v>
      </c>
      <c r="K95" s="9">
        <f t="shared" si="4"/>
        <v>25.718</v>
      </c>
      <c r="L95" s="16">
        <f t="shared" si="5"/>
        <v>0.22948907380045108</v>
      </c>
    </row>
    <row r="96" spans="1:12">
      <c r="A96" s="1" t="s">
        <v>3582</v>
      </c>
      <c r="B96" s="7">
        <v>31.32</v>
      </c>
      <c r="C96" s="7">
        <v>31.32</v>
      </c>
      <c r="D96" s="16">
        <f>(C96-B96)/B96</f>
        <v>0</v>
      </c>
      <c r="E96" s="9">
        <v>30.44</v>
      </c>
      <c r="F96" s="16">
        <f t="shared" si="2"/>
        <v>2.8909329829172107E-2</v>
      </c>
      <c r="G96" s="40"/>
      <c r="H96" s="16"/>
      <c r="I96" s="16"/>
      <c r="J96" s="9">
        <v>18.37</v>
      </c>
      <c r="K96" s="9">
        <f t="shared" si="4"/>
        <v>25.718</v>
      </c>
      <c r="L96" s="16">
        <f t="shared" si="5"/>
        <v>0.21782409207558909</v>
      </c>
    </row>
    <row r="97" spans="1:12">
      <c r="A97" s="1" t="s">
        <v>3583</v>
      </c>
      <c r="B97" s="7">
        <v>30.97</v>
      </c>
      <c r="C97" s="7">
        <v>30.97</v>
      </c>
      <c r="D97" s="16">
        <f>(C97-B97)/B97</f>
        <v>0</v>
      </c>
      <c r="E97" s="9">
        <v>30.44</v>
      </c>
      <c r="F97" s="16">
        <f t="shared" si="2"/>
        <v>1.7411300919842231E-2</v>
      </c>
      <c r="G97" s="40"/>
      <c r="H97" s="16"/>
      <c r="I97" s="16"/>
      <c r="J97" s="9">
        <v>18.37</v>
      </c>
      <c r="K97" s="9">
        <f t="shared" si="4"/>
        <v>25.718</v>
      </c>
      <c r="L97" s="16">
        <f t="shared" si="5"/>
        <v>0.20421494672991675</v>
      </c>
    </row>
    <row r="98" spans="1:12">
      <c r="A98" s="1" t="s">
        <v>3584</v>
      </c>
      <c r="B98" s="7">
        <v>32.020000000000003</v>
      </c>
      <c r="C98" s="7">
        <v>32.020000000000003</v>
      </c>
      <c r="D98" s="16">
        <f>(C98-B98)/B98</f>
        <v>0</v>
      </c>
      <c r="E98" s="9">
        <v>30.44</v>
      </c>
      <c r="F98" s="16">
        <f t="shared" si="2"/>
        <v>5.1905387647831862E-2</v>
      </c>
      <c r="G98" s="40"/>
      <c r="H98" s="16"/>
      <c r="I98" s="16"/>
      <c r="J98" s="9">
        <v>18.37</v>
      </c>
      <c r="K98" s="9">
        <f t="shared" si="4"/>
        <v>25.718</v>
      </c>
      <c r="L98" s="16">
        <f t="shared" si="5"/>
        <v>0.2450423827669338</v>
      </c>
    </row>
    <row r="99" spans="1:12">
      <c r="A99" s="1"/>
      <c r="B99" s="7"/>
      <c r="C99" s="7"/>
      <c r="D99" s="16"/>
      <c r="E99" s="9"/>
      <c r="F99" s="16"/>
      <c r="G99" s="40"/>
      <c r="H99" s="16"/>
      <c r="I99" s="16"/>
      <c r="J99" s="9"/>
      <c r="K99" s="9">
        <f t="shared" si="4"/>
        <v>0</v>
      </c>
      <c r="L99" s="16"/>
    </row>
    <row r="100" spans="1:12" ht="38.25">
      <c r="A100" s="2" t="s">
        <v>3585</v>
      </c>
      <c r="B100" s="12" t="s">
        <v>3689</v>
      </c>
      <c r="C100" s="31" t="s">
        <v>3997</v>
      </c>
      <c r="D100" s="43"/>
      <c r="E100" s="44"/>
      <c r="F100" s="16"/>
      <c r="G100" s="23" t="s">
        <v>3983</v>
      </c>
      <c r="H100" s="43">
        <f>AVERAGE(F101:F103)</f>
        <v>-7.6331395690213549E-4</v>
      </c>
      <c r="I100" s="43"/>
      <c r="J100" s="44"/>
      <c r="K100" s="9">
        <f t="shared" si="4"/>
        <v>0</v>
      </c>
      <c r="L100" s="43"/>
    </row>
    <row r="101" spans="1:12">
      <c r="A101" s="1" t="s">
        <v>3587</v>
      </c>
      <c r="B101" s="7">
        <v>57.06</v>
      </c>
      <c r="C101" s="7">
        <v>54.56</v>
      </c>
      <c r="D101" s="16">
        <f>(C101-B101)/B101</f>
        <v>-4.3813529617946018E-2</v>
      </c>
      <c r="E101" s="9">
        <v>56.77</v>
      </c>
      <c r="F101" s="16">
        <f t="shared" si="2"/>
        <v>-3.8929011802008119E-2</v>
      </c>
      <c r="G101" s="40"/>
      <c r="H101" s="16"/>
      <c r="I101" s="16"/>
      <c r="J101" s="9"/>
      <c r="K101" s="9">
        <f t="shared" si="4"/>
        <v>0</v>
      </c>
      <c r="L101" s="16"/>
    </row>
    <row r="102" spans="1:12">
      <c r="A102" s="1" t="s">
        <v>3588</v>
      </c>
      <c r="B102" s="7">
        <v>59.56</v>
      </c>
      <c r="C102" s="7">
        <v>57.06</v>
      </c>
      <c r="D102" s="16">
        <f>(C102-B102)/B102</f>
        <v>-4.1974479516453993E-2</v>
      </c>
      <c r="E102" s="9">
        <v>56.77</v>
      </c>
      <c r="F102" s="16">
        <f t="shared" si="2"/>
        <v>5.1083318654218625E-3</v>
      </c>
      <c r="G102" s="40"/>
      <c r="H102" s="16"/>
      <c r="I102" s="16"/>
      <c r="J102" s="9"/>
      <c r="K102" s="9">
        <f t="shared" si="4"/>
        <v>0</v>
      </c>
      <c r="L102" s="16"/>
    </row>
    <row r="103" spans="1:12">
      <c r="A103" s="1" t="s">
        <v>3589</v>
      </c>
      <c r="B103" s="7">
        <v>61.06</v>
      </c>
      <c r="C103" s="7">
        <v>58.56</v>
      </c>
      <c r="D103" s="16">
        <f>(C103-B103)/B103</f>
        <v>-4.0943334425155582E-2</v>
      </c>
      <c r="E103" s="9">
        <v>56.77</v>
      </c>
      <c r="F103" s="16">
        <f t="shared" si="2"/>
        <v>3.1530738065879853E-2</v>
      </c>
      <c r="G103" s="40"/>
      <c r="H103" s="16"/>
      <c r="I103" s="16"/>
      <c r="J103" s="9"/>
      <c r="K103" s="9">
        <f t="shared" si="4"/>
        <v>0</v>
      </c>
      <c r="L103" s="16"/>
    </row>
    <row r="104" spans="1:12">
      <c r="A104" s="143"/>
      <c r="B104" s="143"/>
      <c r="C104" s="7"/>
      <c r="D104" s="16"/>
      <c r="E104" s="9"/>
      <c r="F104" s="16"/>
      <c r="G104" s="40"/>
      <c r="H104" s="16"/>
      <c r="I104" s="16"/>
      <c r="J104" s="9"/>
      <c r="K104" s="9">
        <f t="shared" si="4"/>
        <v>0</v>
      </c>
      <c r="L104" s="16"/>
    </row>
    <row r="105" spans="1:12">
      <c r="A105" s="2" t="s">
        <v>3590</v>
      </c>
      <c r="B105" s="10"/>
      <c r="C105" s="31"/>
      <c r="D105" s="43"/>
      <c r="E105" s="44"/>
      <c r="F105" s="16"/>
      <c r="G105" s="23" t="s">
        <v>3984</v>
      </c>
      <c r="H105" s="43"/>
      <c r="I105" s="43">
        <f>AVERAGE(F106)</f>
        <v>0</v>
      </c>
      <c r="J105" s="44"/>
      <c r="K105" s="9">
        <f t="shared" si="4"/>
        <v>0</v>
      </c>
      <c r="L105" s="43"/>
    </row>
    <row r="106" spans="1:12">
      <c r="A106" s="1" t="s">
        <v>3591</v>
      </c>
      <c r="B106" s="7">
        <v>49.7</v>
      </c>
      <c r="C106" s="7">
        <v>25.44</v>
      </c>
      <c r="D106" s="16">
        <f>(C106-B106)/B106</f>
        <v>-0.48812877263581489</v>
      </c>
      <c r="E106" s="9">
        <v>25.44</v>
      </c>
      <c r="F106" s="16">
        <f t="shared" si="2"/>
        <v>0</v>
      </c>
      <c r="G106" s="40"/>
      <c r="H106" s="16"/>
      <c r="I106" s="16"/>
      <c r="J106" s="9"/>
      <c r="K106" s="9">
        <f t="shared" si="4"/>
        <v>0</v>
      </c>
      <c r="L106" s="16"/>
    </row>
    <row r="107" spans="1:12">
      <c r="A107" s="143"/>
      <c r="B107" s="143"/>
      <c r="C107" s="7"/>
      <c r="D107" s="16"/>
      <c r="E107" s="9"/>
      <c r="F107" s="16"/>
      <c r="G107" s="40"/>
      <c r="H107" s="16"/>
      <c r="I107" s="16"/>
      <c r="J107" s="9"/>
      <c r="K107" s="9">
        <f t="shared" si="4"/>
        <v>0</v>
      </c>
      <c r="L107" s="16"/>
    </row>
    <row r="108" spans="1:12" ht="25.5" customHeight="1">
      <c r="A108" s="2" t="s">
        <v>3942</v>
      </c>
      <c r="B108" s="147" t="s">
        <v>3912</v>
      </c>
      <c r="C108" s="147" t="s">
        <v>3912</v>
      </c>
      <c r="D108" s="43"/>
      <c r="E108" s="44"/>
      <c r="F108" s="16"/>
      <c r="G108" s="23" t="s">
        <v>3983</v>
      </c>
      <c r="H108" s="43">
        <f>AVERAGE(F109:F161)</f>
        <v>0.10026198181537986</v>
      </c>
      <c r="I108" s="43"/>
      <c r="J108" s="44"/>
      <c r="K108" s="9">
        <f t="shared" si="4"/>
        <v>0</v>
      </c>
      <c r="L108" s="43"/>
    </row>
    <row r="109" spans="1:12">
      <c r="A109" s="3" t="s">
        <v>3569</v>
      </c>
      <c r="B109" s="147"/>
      <c r="C109" s="147"/>
      <c r="D109" s="16"/>
      <c r="E109" s="9"/>
      <c r="F109" s="16"/>
      <c r="G109" s="40"/>
      <c r="H109" s="16"/>
      <c r="I109" s="16"/>
      <c r="J109" s="9"/>
      <c r="K109" s="9">
        <f t="shared" si="4"/>
        <v>0</v>
      </c>
      <c r="L109" s="16"/>
    </row>
    <row r="110" spans="1:12">
      <c r="A110" s="1" t="s">
        <v>3573</v>
      </c>
      <c r="B110" s="7">
        <v>41.33</v>
      </c>
      <c r="C110" s="7">
        <v>43.08</v>
      </c>
      <c r="D110" s="16">
        <f t="shared" ref="D110:D125" si="6">(C110-B110)/B110</f>
        <v>4.2342124364868138E-2</v>
      </c>
      <c r="E110" s="9">
        <v>46.35</v>
      </c>
      <c r="F110" s="16">
        <f t="shared" si="2"/>
        <v>-7.0550161812297799E-2</v>
      </c>
      <c r="G110" s="40"/>
      <c r="H110" s="16"/>
      <c r="I110" s="16"/>
      <c r="J110" s="9">
        <v>24.16</v>
      </c>
      <c r="K110" s="9">
        <f t="shared" si="4"/>
        <v>33.823999999999998</v>
      </c>
      <c r="L110" s="16">
        <f>(C110-K110)/K110</f>
        <v>0.27365184484389787</v>
      </c>
    </row>
    <row r="111" spans="1:12">
      <c r="A111" s="1" t="s">
        <v>3574</v>
      </c>
      <c r="B111" s="7">
        <v>44.09</v>
      </c>
      <c r="C111" s="7">
        <v>45.84</v>
      </c>
      <c r="D111" s="16">
        <f t="shared" si="6"/>
        <v>3.9691540031753229E-2</v>
      </c>
      <c r="E111" s="9">
        <v>46.35</v>
      </c>
      <c r="F111" s="16">
        <f t="shared" si="2"/>
        <v>-1.1003236245954649E-2</v>
      </c>
      <c r="G111" s="40"/>
      <c r="H111" s="16"/>
      <c r="I111" s="16"/>
      <c r="J111" s="9">
        <v>24.16</v>
      </c>
      <c r="K111" s="9">
        <f t="shared" si="4"/>
        <v>33.823999999999998</v>
      </c>
      <c r="L111" s="16">
        <f t="shared" ref="L111:L161" si="7">(C111-K111)/K111</f>
        <v>0.35525070955534549</v>
      </c>
    </row>
    <row r="112" spans="1:12">
      <c r="A112" s="1" t="s">
        <v>3575</v>
      </c>
      <c r="B112" s="7">
        <v>44.62</v>
      </c>
      <c r="C112" s="7">
        <v>46.37</v>
      </c>
      <c r="D112" s="16">
        <f t="shared" si="6"/>
        <v>3.9220080681308833E-2</v>
      </c>
      <c r="E112" s="9">
        <v>46.35</v>
      </c>
      <c r="F112" s="16">
        <f t="shared" si="2"/>
        <v>4.3149946062558836E-4</v>
      </c>
      <c r="G112" s="40"/>
      <c r="H112" s="16"/>
      <c r="I112" s="16"/>
      <c r="J112" s="9">
        <v>24.16</v>
      </c>
      <c r="K112" s="9">
        <f t="shared" si="4"/>
        <v>33.823999999999998</v>
      </c>
      <c r="L112" s="16">
        <f t="shared" si="7"/>
        <v>0.37092005676442763</v>
      </c>
    </row>
    <row r="113" spans="1:12">
      <c r="A113" s="1" t="s">
        <v>3576</v>
      </c>
      <c r="B113" s="7">
        <v>44.89</v>
      </c>
      <c r="C113" s="7">
        <v>46.64</v>
      </c>
      <c r="D113" s="16">
        <f t="shared" si="6"/>
        <v>3.8984183559812875E-2</v>
      </c>
      <c r="E113" s="9">
        <v>46.35</v>
      </c>
      <c r="F113" s="16">
        <f t="shared" si="2"/>
        <v>6.2567421790722579E-3</v>
      </c>
      <c r="G113" s="40"/>
      <c r="H113" s="16"/>
      <c r="I113" s="16"/>
      <c r="J113" s="9">
        <v>24.16</v>
      </c>
      <c r="K113" s="9">
        <f t="shared" si="4"/>
        <v>33.823999999999998</v>
      </c>
      <c r="L113" s="16">
        <f t="shared" si="7"/>
        <v>0.37890255439924325</v>
      </c>
    </row>
    <row r="114" spans="1:12">
      <c r="A114" s="1" t="s">
        <v>3577</v>
      </c>
      <c r="B114" s="7">
        <v>45.63</v>
      </c>
      <c r="C114" s="7">
        <v>47.38</v>
      </c>
      <c r="D114" s="16">
        <f t="shared" si="6"/>
        <v>3.8351961428884501E-2</v>
      </c>
      <c r="E114" s="9">
        <v>46.35</v>
      </c>
      <c r="F114" s="16">
        <f t="shared" si="2"/>
        <v>2.2222222222222247E-2</v>
      </c>
      <c r="G114" s="40"/>
      <c r="H114" s="16"/>
      <c r="I114" s="16"/>
      <c r="J114" s="9">
        <v>24.16</v>
      </c>
      <c r="K114" s="9">
        <f t="shared" si="4"/>
        <v>33.823999999999998</v>
      </c>
      <c r="L114" s="16">
        <f t="shared" si="7"/>
        <v>0.40078051087984878</v>
      </c>
    </row>
    <row r="115" spans="1:12">
      <c r="A115" s="1" t="s">
        <v>3579</v>
      </c>
      <c r="B115" s="7">
        <v>45.93</v>
      </c>
      <c r="C115" s="7">
        <v>47.68</v>
      </c>
      <c r="D115" s="16">
        <f t="shared" si="6"/>
        <v>3.8101458741563246E-2</v>
      </c>
      <c r="E115" s="9">
        <v>46.35</v>
      </c>
      <c r="F115" s="16">
        <f t="shared" si="2"/>
        <v>2.8694714131607298E-2</v>
      </c>
      <c r="G115" s="40"/>
      <c r="H115" s="16"/>
      <c r="I115" s="16"/>
      <c r="J115" s="9">
        <v>24.16</v>
      </c>
      <c r="K115" s="9">
        <f t="shared" si="4"/>
        <v>33.823999999999998</v>
      </c>
      <c r="L115" s="16">
        <f t="shared" si="7"/>
        <v>0.40964995269631038</v>
      </c>
    </row>
    <row r="116" spans="1:12">
      <c r="A116" s="1" t="s">
        <v>3580</v>
      </c>
      <c r="B116" s="7">
        <v>46.1</v>
      </c>
      <c r="C116" s="7">
        <v>47.85</v>
      </c>
      <c r="D116" s="16">
        <f t="shared" si="6"/>
        <v>3.7960954446854663E-2</v>
      </c>
      <c r="E116" s="9">
        <v>46.35</v>
      </c>
      <c r="F116" s="16">
        <f t="shared" si="2"/>
        <v>3.2362459546925564E-2</v>
      </c>
      <c r="G116" s="40"/>
      <c r="H116" s="16"/>
      <c r="I116" s="16"/>
      <c r="J116" s="9">
        <v>24.16</v>
      </c>
      <c r="K116" s="9">
        <f t="shared" si="4"/>
        <v>33.823999999999998</v>
      </c>
      <c r="L116" s="16">
        <f t="shared" si="7"/>
        <v>0.41467596972563875</v>
      </c>
    </row>
    <row r="117" spans="1:12">
      <c r="A117" s="1" t="s">
        <v>3593</v>
      </c>
      <c r="B117" s="7">
        <v>46.35</v>
      </c>
      <c r="C117" s="7">
        <v>48.1</v>
      </c>
      <c r="D117" s="16">
        <f t="shared" si="6"/>
        <v>3.7756202804746494E-2</v>
      </c>
      <c r="E117" s="9">
        <v>46.35</v>
      </c>
      <c r="F117" s="16">
        <f t="shared" si="2"/>
        <v>3.7756202804746494E-2</v>
      </c>
      <c r="G117" s="40"/>
      <c r="H117" s="16"/>
      <c r="I117" s="16"/>
      <c r="J117" s="9">
        <v>24.16</v>
      </c>
      <c r="K117" s="9">
        <f t="shared" si="4"/>
        <v>33.823999999999998</v>
      </c>
      <c r="L117" s="16">
        <f t="shared" si="7"/>
        <v>0.42206717123935678</v>
      </c>
    </row>
    <row r="118" spans="1:12">
      <c r="A118" s="1" t="s">
        <v>3594</v>
      </c>
      <c r="B118" s="7">
        <v>46.94</v>
      </c>
      <c r="C118" s="7">
        <v>48.69</v>
      </c>
      <c r="D118" s="16">
        <f t="shared" si="6"/>
        <v>3.7281636131231359E-2</v>
      </c>
      <c r="E118" s="9">
        <v>46.35</v>
      </c>
      <c r="F118" s="16">
        <f t="shared" si="2"/>
        <v>5.0485436893203804E-2</v>
      </c>
      <c r="G118" s="40"/>
      <c r="H118" s="16"/>
      <c r="I118" s="16"/>
      <c r="J118" s="9">
        <v>24.16</v>
      </c>
      <c r="K118" s="9">
        <f t="shared" si="4"/>
        <v>33.823999999999998</v>
      </c>
      <c r="L118" s="16">
        <f t="shared" si="7"/>
        <v>0.43951040681173131</v>
      </c>
    </row>
    <row r="119" spans="1:12">
      <c r="A119" s="1" t="s">
        <v>3595</v>
      </c>
      <c r="B119" s="7">
        <v>47.26</v>
      </c>
      <c r="C119" s="7">
        <v>49.01</v>
      </c>
      <c r="D119" s="16">
        <f t="shared" si="6"/>
        <v>3.7029200169276348E-2</v>
      </c>
      <c r="E119" s="9">
        <v>46.35</v>
      </c>
      <c r="F119" s="16">
        <f t="shared" si="2"/>
        <v>5.7389428263214595E-2</v>
      </c>
      <c r="G119" s="40"/>
      <c r="H119" s="16"/>
      <c r="I119" s="16"/>
      <c r="J119" s="9">
        <v>24.16</v>
      </c>
      <c r="K119" s="9">
        <f t="shared" si="4"/>
        <v>33.823999999999998</v>
      </c>
      <c r="L119" s="16">
        <f t="shared" si="7"/>
        <v>0.44897114474929045</v>
      </c>
    </row>
    <row r="120" spans="1:12">
      <c r="A120" s="1" t="s">
        <v>3596</v>
      </c>
      <c r="B120" s="7">
        <v>47.61</v>
      </c>
      <c r="C120" s="7">
        <v>49.36</v>
      </c>
      <c r="D120" s="16">
        <f t="shared" si="6"/>
        <v>3.6756983826927117E-2</v>
      </c>
      <c r="E120" s="9">
        <v>46.35</v>
      </c>
      <c r="F120" s="16">
        <f t="shared" si="2"/>
        <v>6.4940668824163925E-2</v>
      </c>
      <c r="G120" s="40"/>
      <c r="H120" s="16"/>
      <c r="I120" s="16"/>
      <c r="J120" s="9">
        <v>24.16</v>
      </c>
      <c r="K120" s="9">
        <f t="shared" si="4"/>
        <v>33.823999999999998</v>
      </c>
      <c r="L120" s="16">
        <f t="shared" si="7"/>
        <v>0.45931882686849579</v>
      </c>
    </row>
    <row r="121" spans="1:12">
      <c r="A121" s="1" t="s">
        <v>3597</v>
      </c>
      <c r="B121" s="7">
        <v>47.8</v>
      </c>
      <c r="C121" s="7">
        <v>49.55</v>
      </c>
      <c r="D121" s="16">
        <f t="shared" si="6"/>
        <v>3.6610878661087871E-2</v>
      </c>
      <c r="E121" s="9">
        <v>46.35</v>
      </c>
      <c r="F121" s="16">
        <f t="shared" si="2"/>
        <v>6.9039913700107786E-2</v>
      </c>
      <c r="G121" s="40"/>
      <c r="H121" s="16"/>
      <c r="I121" s="16"/>
      <c r="J121" s="9">
        <v>24.16</v>
      </c>
      <c r="K121" s="9">
        <f t="shared" si="4"/>
        <v>33.823999999999998</v>
      </c>
      <c r="L121" s="16">
        <f t="shared" si="7"/>
        <v>0.46493614001892147</v>
      </c>
    </row>
    <row r="122" spans="1:12">
      <c r="A122" s="1" t="s">
        <v>3598</v>
      </c>
      <c r="B122" s="7">
        <v>48.04</v>
      </c>
      <c r="C122" s="7">
        <v>49.79</v>
      </c>
      <c r="D122" s="16">
        <f t="shared" si="6"/>
        <v>3.6427976686094925E-2</v>
      </c>
      <c r="E122" s="9">
        <v>46.35</v>
      </c>
      <c r="F122" s="16">
        <f t="shared" si="2"/>
        <v>7.4217907227615912E-2</v>
      </c>
      <c r="G122" s="40"/>
      <c r="H122" s="16"/>
      <c r="I122" s="16"/>
      <c r="J122" s="9">
        <v>24.16</v>
      </c>
      <c r="K122" s="9">
        <f t="shared" si="4"/>
        <v>33.823999999999998</v>
      </c>
      <c r="L122" s="16">
        <f t="shared" si="7"/>
        <v>0.4720316934720909</v>
      </c>
    </row>
    <row r="123" spans="1:12">
      <c r="A123" s="1" t="s">
        <v>3599</v>
      </c>
      <c r="B123" s="7">
        <v>49.68</v>
      </c>
      <c r="C123" s="7">
        <v>51.43</v>
      </c>
      <c r="D123" s="16">
        <f t="shared" si="6"/>
        <v>3.5225442834138483E-2</v>
      </c>
      <c r="E123" s="9">
        <v>46.35</v>
      </c>
      <c r="F123" s="16">
        <f t="shared" si="2"/>
        <v>0.10960086299892122</v>
      </c>
      <c r="G123" s="40"/>
      <c r="H123" s="16"/>
      <c r="I123" s="16"/>
      <c r="J123" s="9">
        <v>24.16</v>
      </c>
      <c r="K123" s="9">
        <f t="shared" si="4"/>
        <v>33.823999999999998</v>
      </c>
      <c r="L123" s="16">
        <f t="shared" si="7"/>
        <v>0.52051797540208145</v>
      </c>
    </row>
    <row r="124" spans="1:12">
      <c r="A124" s="1" t="s">
        <v>3600</v>
      </c>
      <c r="B124" s="7">
        <v>50.49</v>
      </c>
      <c r="C124" s="7">
        <v>52.24</v>
      </c>
      <c r="D124" s="16">
        <f t="shared" si="6"/>
        <v>3.4660328777975834E-2</v>
      </c>
      <c r="E124" s="9">
        <v>46.35</v>
      </c>
      <c r="F124" s="16">
        <f t="shared" si="2"/>
        <v>0.12707659115426106</v>
      </c>
      <c r="G124" s="40"/>
      <c r="H124" s="16"/>
      <c r="I124" s="16"/>
      <c r="J124" s="9">
        <v>24.16</v>
      </c>
      <c r="K124" s="9">
        <f t="shared" si="4"/>
        <v>33.823999999999998</v>
      </c>
      <c r="L124" s="16">
        <f t="shared" si="7"/>
        <v>0.54446546830652809</v>
      </c>
    </row>
    <row r="125" spans="1:12">
      <c r="A125" s="1" t="s">
        <v>3601</v>
      </c>
      <c r="B125" s="7">
        <v>49.68</v>
      </c>
      <c r="C125" s="7">
        <v>51.43</v>
      </c>
      <c r="D125" s="16">
        <f t="shared" si="6"/>
        <v>3.5225442834138483E-2</v>
      </c>
      <c r="E125" s="9">
        <v>46.35</v>
      </c>
      <c r="F125" s="16">
        <f t="shared" si="2"/>
        <v>0.10960086299892122</v>
      </c>
      <c r="G125" s="40"/>
      <c r="H125" s="16"/>
      <c r="I125" s="16"/>
      <c r="J125" s="9">
        <v>24.16</v>
      </c>
      <c r="K125" s="9">
        <f t="shared" si="4"/>
        <v>33.823999999999998</v>
      </c>
      <c r="L125" s="16">
        <f t="shared" si="7"/>
        <v>0.52051797540208145</v>
      </c>
    </row>
    <row r="126" spans="1:12">
      <c r="A126" s="1" t="s">
        <v>3602</v>
      </c>
      <c r="B126" s="11" t="s">
        <v>3534</v>
      </c>
      <c r="C126" s="11" t="s">
        <v>3534</v>
      </c>
      <c r="D126" s="16"/>
      <c r="E126" s="9"/>
      <c r="F126" s="16"/>
      <c r="G126" s="40"/>
      <c r="H126" s="16"/>
      <c r="I126" s="16"/>
      <c r="J126" s="9"/>
      <c r="K126" s="9">
        <f t="shared" si="4"/>
        <v>0</v>
      </c>
      <c r="L126" s="16"/>
    </row>
    <row r="127" spans="1:12" ht="25.5">
      <c r="A127" s="1" t="s">
        <v>3603</v>
      </c>
      <c r="B127" s="11" t="s">
        <v>3534</v>
      </c>
      <c r="C127" s="11" t="s">
        <v>3534</v>
      </c>
      <c r="D127" s="16"/>
      <c r="E127" s="9"/>
      <c r="F127" s="16"/>
      <c r="G127" s="40"/>
      <c r="H127" s="16"/>
      <c r="I127" s="16"/>
      <c r="J127" s="9"/>
      <c r="K127" s="9">
        <f t="shared" si="4"/>
        <v>0</v>
      </c>
      <c r="L127" s="16"/>
    </row>
    <row r="128" spans="1:12">
      <c r="A128" s="143"/>
      <c r="B128" s="143"/>
      <c r="C128" s="7"/>
      <c r="D128" s="16"/>
      <c r="E128" s="9"/>
      <c r="F128" s="16"/>
      <c r="G128" s="40"/>
      <c r="H128" s="16"/>
      <c r="I128" s="16"/>
      <c r="J128" s="9"/>
      <c r="K128" s="9">
        <f t="shared" si="4"/>
        <v>0</v>
      </c>
      <c r="L128" s="16"/>
    </row>
    <row r="129" spans="1:12" ht="25.5" customHeight="1">
      <c r="A129" s="2" t="s">
        <v>3604</v>
      </c>
      <c r="B129" s="147" t="s">
        <v>3510</v>
      </c>
      <c r="C129" s="147" t="s">
        <v>3510</v>
      </c>
      <c r="D129" s="16"/>
      <c r="E129" s="9"/>
      <c r="F129" s="16"/>
      <c r="G129" s="40"/>
      <c r="H129" s="16"/>
      <c r="I129" s="16"/>
      <c r="J129" s="9"/>
      <c r="K129" s="9">
        <f t="shared" si="4"/>
        <v>0</v>
      </c>
      <c r="L129" s="16"/>
    </row>
    <row r="130" spans="1:12">
      <c r="A130" s="3" t="s">
        <v>3569</v>
      </c>
      <c r="B130" s="147"/>
      <c r="C130" s="147"/>
      <c r="D130" s="16"/>
      <c r="E130" s="9"/>
      <c r="F130" s="16"/>
      <c r="G130" s="40"/>
      <c r="H130" s="16"/>
      <c r="I130" s="16"/>
      <c r="J130" s="9"/>
      <c r="K130" s="9">
        <f t="shared" si="4"/>
        <v>0</v>
      </c>
      <c r="L130" s="16"/>
    </row>
    <row r="131" spans="1:12">
      <c r="A131" s="1" t="s">
        <v>3573</v>
      </c>
      <c r="B131" s="7">
        <v>56.63</v>
      </c>
      <c r="C131" s="7">
        <v>58.38</v>
      </c>
      <c r="D131" s="16">
        <f t="shared" ref="D131:D142" si="8">(C131-B131)/B131</f>
        <v>3.0902348578491962E-2</v>
      </c>
      <c r="E131" s="9">
        <v>46.35</v>
      </c>
      <c r="F131" s="16">
        <f t="shared" si="2"/>
        <v>0.25954692556634307</v>
      </c>
      <c r="G131" s="40"/>
      <c r="H131" s="16"/>
      <c r="I131" s="16"/>
      <c r="J131" s="9">
        <v>24.16</v>
      </c>
      <c r="K131" s="9">
        <f t="shared" si="4"/>
        <v>33.823999999999998</v>
      </c>
      <c r="L131" s="16">
        <f t="shared" si="7"/>
        <v>0.72599337748344384</v>
      </c>
    </row>
    <row r="132" spans="1:12">
      <c r="A132" s="1" t="s">
        <v>3605</v>
      </c>
      <c r="B132" s="7">
        <v>50.46</v>
      </c>
      <c r="C132" s="7">
        <v>52.21</v>
      </c>
      <c r="D132" s="16">
        <f t="shared" si="8"/>
        <v>3.4680935394371781E-2</v>
      </c>
      <c r="E132" s="9">
        <v>46.35</v>
      </c>
      <c r="F132" s="16">
        <f t="shared" si="2"/>
        <v>0.12642934196332253</v>
      </c>
      <c r="G132" s="40"/>
      <c r="H132" s="16"/>
      <c r="I132" s="16"/>
      <c r="J132" s="9">
        <v>24.16</v>
      </c>
      <c r="K132" s="9">
        <f t="shared" si="4"/>
        <v>33.823999999999998</v>
      </c>
      <c r="L132" s="16">
        <f t="shared" si="7"/>
        <v>0.54357852412488183</v>
      </c>
    </row>
    <row r="133" spans="1:12">
      <c r="A133" s="1" t="s">
        <v>3606</v>
      </c>
      <c r="B133" s="7">
        <v>48.5</v>
      </c>
      <c r="C133" s="7">
        <v>50.25</v>
      </c>
      <c r="D133" s="16">
        <f t="shared" si="8"/>
        <v>3.608247422680412E-2</v>
      </c>
      <c r="E133" s="9">
        <v>46.35</v>
      </c>
      <c r="F133" s="16">
        <f t="shared" si="2"/>
        <v>8.4142394822006444E-2</v>
      </c>
      <c r="G133" s="40"/>
      <c r="H133" s="16"/>
      <c r="I133" s="16"/>
      <c r="J133" s="9">
        <v>24.16</v>
      </c>
      <c r="K133" s="9">
        <f t="shared" si="4"/>
        <v>33.823999999999998</v>
      </c>
      <c r="L133" s="16">
        <f t="shared" si="7"/>
        <v>0.48563150425733215</v>
      </c>
    </row>
    <row r="134" spans="1:12">
      <c r="A134" s="1" t="s">
        <v>3575</v>
      </c>
      <c r="B134" s="7">
        <v>55.12</v>
      </c>
      <c r="C134" s="7">
        <v>56.87</v>
      </c>
      <c r="D134" s="16">
        <f t="shared" si="8"/>
        <v>3.17489114658926E-2</v>
      </c>
      <c r="E134" s="9">
        <v>46.35</v>
      </c>
      <c r="F134" s="16">
        <f t="shared" ref="F134:F197" si="9">(C134-E134)/E134</f>
        <v>0.22696871628910453</v>
      </c>
      <c r="G134" s="40"/>
      <c r="H134" s="16"/>
      <c r="I134" s="16"/>
      <c r="J134" s="9">
        <v>24.16</v>
      </c>
      <c r="K134" s="9">
        <f t="shared" si="4"/>
        <v>33.823999999999998</v>
      </c>
      <c r="L134" s="16">
        <f t="shared" si="7"/>
        <v>0.68135052034058663</v>
      </c>
    </row>
    <row r="135" spans="1:12">
      <c r="A135" s="1" t="s">
        <v>3607</v>
      </c>
      <c r="B135" s="7">
        <v>50.21</v>
      </c>
      <c r="C135" s="7">
        <v>51.96</v>
      </c>
      <c r="D135" s="16">
        <f t="shared" si="8"/>
        <v>3.4853614817765388E-2</v>
      </c>
      <c r="E135" s="9">
        <v>46.35</v>
      </c>
      <c r="F135" s="16">
        <f t="shared" si="9"/>
        <v>0.1210355987055016</v>
      </c>
      <c r="G135" s="40"/>
      <c r="H135" s="16"/>
      <c r="I135" s="16"/>
      <c r="J135" s="9">
        <v>24.16</v>
      </c>
      <c r="K135" s="9">
        <f t="shared" si="4"/>
        <v>33.823999999999998</v>
      </c>
      <c r="L135" s="16">
        <f t="shared" si="7"/>
        <v>0.53618732261116375</v>
      </c>
    </row>
    <row r="136" spans="1:12">
      <c r="A136" s="1" t="s">
        <v>3608</v>
      </c>
      <c r="B136" s="7">
        <v>48.29</v>
      </c>
      <c r="C136" s="7">
        <v>50.04</v>
      </c>
      <c r="D136" s="16">
        <f t="shared" si="8"/>
        <v>3.6239387036653553E-2</v>
      </c>
      <c r="E136" s="9">
        <v>46.35</v>
      </c>
      <c r="F136" s="16">
        <f t="shared" si="9"/>
        <v>7.9611650485436836E-2</v>
      </c>
      <c r="G136" s="40"/>
      <c r="H136" s="16"/>
      <c r="I136" s="16"/>
      <c r="J136" s="9">
        <v>24.16</v>
      </c>
      <c r="K136" s="9">
        <f t="shared" si="4"/>
        <v>33.823999999999998</v>
      </c>
      <c r="L136" s="16">
        <f t="shared" si="7"/>
        <v>0.47942289498580898</v>
      </c>
    </row>
    <row r="137" spans="1:12">
      <c r="A137" s="1" t="s">
        <v>3576</v>
      </c>
      <c r="B137" s="7">
        <v>53.88</v>
      </c>
      <c r="C137" s="7">
        <v>55.63</v>
      </c>
      <c r="D137" s="16">
        <f t="shared" si="8"/>
        <v>3.2479584261321456E-2</v>
      </c>
      <c r="E137" s="9">
        <v>46.35</v>
      </c>
      <c r="F137" s="16">
        <f t="shared" si="9"/>
        <v>0.20021574973031286</v>
      </c>
      <c r="G137" s="40"/>
      <c r="H137" s="16"/>
      <c r="I137" s="16"/>
      <c r="J137" s="9">
        <v>24.16</v>
      </c>
      <c r="K137" s="9">
        <f t="shared" si="4"/>
        <v>33.823999999999998</v>
      </c>
      <c r="L137" s="16">
        <f t="shared" si="7"/>
        <v>0.64469016083254516</v>
      </c>
    </row>
    <row r="138" spans="1:12">
      <c r="A138" s="1" t="s">
        <v>3609</v>
      </c>
      <c r="B138" s="7">
        <v>49.99</v>
      </c>
      <c r="C138" s="7">
        <v>51.74</v>
      </c>
      <c r="D138" s="16">
        <f t="shared" si="8"/>
        <v>3.5007001400280055E-2</v>
      </c>
      <c r="E138" s="9">
        <v>46.35</v>
      </c>
      <c r="F138" s="16">
        <f t="shared" si="9"/>
        <v>0.11628910463861922</v>
      </c>
      <c r="G138" s="40"/>
      <c r="H138" s="16"/>
      <c r="I138" s="16"/>
      <c r="J138" s="9">
        <v>24.16</v>
      </c>
      <c r="K138" s="9">
        <f t="shared" si="4"/>
        <v>33.823999999999998</v>
      </c>
      <c r="L138" s="16">
        <f t="shared" si="7"/>
        <v>0.52968306527909192</v>
      </c>
    </row>
    <row r="139" spans="1:12">
      <c r="A139" s="1" t="s">
        <v>3610</v>
      </c>
      <c r="B139" s="7">
        <v>48.07</v>
      </c>
      <c r="C139" s="7">
        <v>49.82</v>
      </c>
      <c r="D139" s="16">
        <f t="shared" si="8"/>
        <v>3.6405242354899107E-2</v>
      </c>
      <c r="E139" s="9">
        <v>46.35</v>
      </c>
      <c r="F139" s="16">
        <f t="shared" si="9"/>
        <v>7.4865156418554443E-2</v>
      </c>
      <c r="G139" s="40"/>
      <c r="H139" s="16"/>
      <c r="I139" s="16"/>
      <c r="J139" s="9">
        <v>24.16</v>
      </c>
      <c r="K139" s="9">
        <f t="shared" si="4"/>
        <v>33.823999999999998</v>
      </c>
      <c r="L139" s="16">
        <f t="shared" si="7"/>
        <v>0.4729186376537371</v>
      </c>
    </row>
    <row r="140" spans="1:12">
      <c r="A140" s="1" t="s">
        <v>3611</v>
      </c>
      <c r="B140" s="7">
        <v>49.66</v>
      </c>
      <c r="C140" s="7">
        <v>51.41</v>
      </c>
      <c r="D140" s="16">
        <f t="shared" si="8"/>
        <v>3.5239629480467181E-2</v>
      </c>
      <c r="E140" s="9">
        <v>46.35</v>
      </c>
      <c r="F140" s="16">
        <f t="shared" si="9"/>
        <v>0.10916936353829547</v>
      </c>
      <c r="G140" s="40"/>
      <c r="H140" s="16"/>
      <c r="I140" s="16"/>
      <c r="J140" s="9">
        <v>24.16</v>
      </c>
      <c r="K140" s="9">
        <f t="shared" si="4"/>
        <v>33.823999999999998</v>
      </c>
      <c r="L140" s="16">
        <f t="shared" si="7"/>
        <v>0.51992667928098391</v>
      </c>
    </row>
    <row r="141" spans="1:12">
      <c r="A141" s="1" t="s">
        <v>3577</v>
      </c>
      <c r="B141" s="7">
        <v>52.15</v>
      </c>
      <c r="C141" s="7">
        <v>53.9</v>
      </c>
      <c r="D141" s="16">
        <f t="shared" si="8"/>
        <v>3.3557046979865772E-2</v>
      </c>
      <c r="E141" s="9">
        <v>46.35</v>
      </c>
      <c r="F141" s="16">
        <f t="shared" si="9"/>
        <v>0.16289104638619195</v>
      </c>
      <c r="G141" s="40"/>
      <c r="H141" s="16"/>
      <c r="I141" s="16"/>
      <c r="J141" s="9">
        <v>24.16</v>
      </c>
      <c r="K141" s="9">
        <f t="shared" si="4"/>
        <v>33.823999999999998</v>
      </c>
      <c r="L141" s="16">
        <f t="shared" si="7"/>
        <v>0.5935430463576159</v>
      </c>
    </row>
    <row r="142" spans="1:12">
      <c r="A142" s="1" t="s">
        <v>3579</v>
      </c>
      <c r="B142" s="7">
        <v>51.05</v>
      </c>
      <c r="C142" s="7">
        <v>52.8</v>
      </c>
      <c r="D142" s="16">
        <f t="shared" si="8"/>
        <v>3.4280117531831543E-2</v>
      </c>
      <c r="E142" s="9">
        <v>46.35</v>
      </c>
      <c r="F142" s="16">
        <f t="shared" si="9"/>
        <v>0.13915857605177984</v>
      </c>
      <c r="G142" s="40"/>
      <c r="H142" s="16"/>
      <c r="I142" s="16"/>
      <c r="J142" s="9">
        <v>24.16</v>
      </c>
      <c r="K142" s="9">
        <f t="shared" si="4"/>
        <v>33.823999999999998</v>
      </c>
      <c r="L142" s="16">
        <f t="shared" si="7"/>
        <v>0.56102175969725643</v>
      </c>
    </row>
    <row r="143" spans="1:12">
      <c r="A143" s="1" t="s">
        <v>3602</v>
      </c>
      <c r="B143" s="11" t="s">
        <v>3534</v>
      </c>
      <c r="C143" s="11" t="s">
        <v>3534</v>
      </c>
      <c r="D143" s="16"/>
      <c r="E143" s="9"/>
      <c r="F143" s="16"/>
      <c r="G143" s="40"/>
      <c r="H143" s="16"/>
      <c r="I143" s="16"/>
      <c r="J143" s="9"/>
      <c r="K143" s="9">
        <f t="shared" si="4"/>
        <v>0</v>
      </c>
      <c r="L143" s="16"/>
    </row>
    <row r="144" spans="1:12" ht="25.5">
      <c r="A144" s="1" t="s">
        <v>3612</v>
      </c>
      <c r="B144" s="7"/>
      <c r="C144" s="7"/>
      <c r="D144" s="16"/>
      <c r="E144" s="9"/>
      <c r="F144" s="16"/>
      <c r="G144" s="40"/>
      <c r="H144" s="16"/>
      <c r="I144" s="16"/>
      <c r="J144" s="9"/>
      <c r="K144" s="9">
        <f t="shared" si="4"/>
        <v>0</v>
      </c>
      <c r="L144" s="16"/>
    </row>
    <row r="145" spans="1:12">
      <c r="A145" s="1"/>
      <c r="B145" s="7"/>
      <c r="C145" s="7"/>
      <c r="D145" s="16"/>
      <c r="E145" s="9"/>
      <c r="F145" s="16"/>
      <c r="G145" s="40"/>
      <c r="H145" s="16"/>
      <c r="I145" s="16"/>
      <c r="J145" s="9"/>
      <c r="K145" s="9">
        <f t="shared" si="4"/>
        <v>0</v>
      </c>
      <c r="L145" s="16"/>
    </row>
    <row r="146" spans="1:12" ht="25.5" customHeight="1">
      <c r="A146" s="2" t="s">
        <v>3613</v>
      </c>
      <c r="B146" s="147" t="s">
        <v>3510</v>
      </c>
      <c r="C146" s="147" t="s">
        <v>3510</v>
      </c>
      <c r="D146" s="16"/>
      <c r="E146" s="9"/>
      <c r="F146" s="16"/>
      <c r="G146" s="23" t="s">
        <v>3983</v>
      </c>
      <c r="H146" s="16"/>
      <c r="I146" s="16"/>
      <c r="J146" s="9"/>
      <c r="K146" s="9">
        <f t="shared" si="4"/>
        <v>0</v>
      </c>
      <c r="L146" s="16"/>
    </row>
    <row r="147" spans="1:12">
      <c r="A147" s="3" t="s">
        <v>3569</v>
      </c>
      <c r="B147" s="147"/>
      <c r="C147" s="147"/>
      <c r="D147" s="16"/>
      <c r="E147" s="9"/>
      <c r="F147" s="16"/>
      <c r="G147" s="40"/>
      <c r="H147" s="16"/>
      <c r="I147" s="16"/>
      <c r="J147" s="9"/>
      <c r="K147" s="9">
        <f t="shared" si="4"/>
        <v>0</v>
      </c>
      <c r="L147" s="16"/>
    </row>
    <row r="148" spans="1:12">
      <c r="A148" s="1" t="s">
        <v>3573</v>
      </c>
      <c r="B148" s="7">
        <v>56.1</v>
      </c>
      <c r="C148" s="7">
        <v>57.85</v>
      </c>
      <c r="D148" s="16">
        <f t="shared" ref="D148:D161" si="10">(C148-B148)/B148</f>
        <v>3.1194295900178252E-2</v>
      </c>
      <c r="E148" s="9">
        <v>46.35</v>
      </c>
      <c r="F148" s="16">
        <f t="shared" si="9"/>
        <v>0.24811218985976266</v>
      </c>
      <c r="G148" s="40"/>
      <c r="H148" s="16"/>
      <c r="I148" s="16"/>
      <c r="J148" s="9">
        <v>24.16</v>
      </c>
      <c r="K148" s="9">
        <f t="shared" si="4"/>
        <v>33.823999999999998</v>
      </c>
      <c r="L148" s="16">
        <f t="shared" si="7"/>
        <v>0.71032403027436153</v>
      </c>
    </row>
    <row r="149" spans="1:12">
      <c r="A149" s="1" t="s">
        <v>3605</v>
      </c>
      <c r="B149" s="7">
        <v>50.64</v>
      </c>
      <c r="C149" s="7">
        <v>52.39</v>
      </c>
      <c r="D149" s="16">
        <f t="shared" si="10"/>
        <v>3.4557661927330174E-2</v>
      </c>
      <c r="E149" s="9">
        <v>46.35</v>
      </c>
      <c r="F149" s="16">
        <f t="shared" si="9"/>
        <v>0.13031283710895358</v>
      </c>
      <c r="G149" s="40"/>
      <c r="H149" s="16"/>
      <c r="I149" s="16"/>
      <c r="J149" s="9">
        <v>24.16</v>
      </c>
      <c r="K149" s="9">
        <f t="shared" si="4"/>
        <v>33.823999999999998</v>
      </c>
      <c r="L149" s="16">
        <f t="shared" si="7"/>
        <v>0.5489001892147588</v>
      </c>
    </row>
    <row r="150" spans="1:12">
      <c r="A150" s="1" t="s">
        <v>3606</v>
      </c>
      <c r="B150" s="7">
        <v>48.72</v>
      </c>
      <c r="C150" s="7">
        <v>50.47</v>
      </c>
      <c r="D150" s="16">
        <f t="shared" si="10"/>
        <v>3.5919540229885055E-2</v>
      </c>
      <c r="E150" s="9">
        <v>46.35</v>
      </c>
      <c r="F150" s="16">
        <f t="shared" si="9"/>
        <v>8.8888888888888837E-2</v>
      </c>
      <c r="G150" s="40"/>
      <c r="H150" s="16"/>
      <c r="I150" s="16"/>
      <c r="J150" s="9">
        <v>24.16</v>
      </c>
      <c r="K150" s="9">
        <f t="shared" ref="K150:K213" si="11">J150*1.4</f>
        <v>33.823999999999998</v>
      </c>
      <c r="L150" s="16">
        <f t="shared" si="7"/>
        <v>0.49213576158940403</v>
      </c>
    </row>
    <row r="151" spans="1:12">
      <c r="A151" s="1" t="s">
        <v>3575</v>
      </c>
      <c r="B151" s="7">
        <v>54.56</v>
      </c>
      <c r="C151" s="7">
        <v>56.31</v>
      </c>
      <c r="D151" s="16">
        <f t="shared" si="10"/>
        <v>3.2074780058651026E-2</v>
      </c>
      <c r="E151" s="9">
        <v>46.35</v>
      </c>
      <c r="F151" s="16">
        <f t="shared" si="9"/>
        <v>0.21488673139158576</v>
      </c>
      <c r="G151" s="40"/>
      <c r="H151" s="16"/>
      <c r="I151" s="16"/>
      <c r="J151" s="9">
        <v>24.16</v>
      </c>
      <c r="K151" s="9">
        <f t="shared" si="11"/>
        <v>33.823999999999998</v>
      </c>
      <c r="L151" s="16">
        <f t="shared" si="7"/>
        <v>0.66479422894985829</v>
      </c>
    </row>
    <row r="152" spans="1:12">
      <c r="A152" s="1" t="s">
        <v>3607</v>
      </c>
      <c r="B152" s="7">
        <v>50.43</v>
      </c>
      <c r="C152" s="7">
        <v>52.18</v>
      </c>
      <c r="D152" s="16">
        <f t="shared" si="10"/>
        <v>3.4701566527860397E-2</v>
      </c>
      <c r="E152" s="9">
        <v>46.35</v>
      </c>
      <c r="F152" s="16">
        <f t="shared" si="9"/>
        <v>0.125782092772384</v>
      </c>
      <c r="G152" s="40"/>
      <c r="H152" s="16"/>
      <c r="I152" s="16"/>
      <c r="J152" s="9">
        <v>24.16</v>
      </c>
      <c r="K152" s="9">
        <f t="shared" si="11"/>
        <v>33.823999999999998</v>
      </c>
      <c r="L152" s="16">
        <f t="shared" si="7"/>
        <v>0.54269157994323569</v>
      </c>
    </row>
    <row r="153" spans="1:12">
      <c r="A153" s="1" t="s">
        <v>3608</v>
      </c>
      <c r="B153" s="7">
        <v>48.52</v>
      </c>
      <c r="C153" s="7">
        <v>50.27</v>
      </c>
      <c r="D153" s="16">
        <f t="shared" si="10"/>
        <v>3.6067600989282765E-2</v>
      </c>
      <c r="E153" s="9">
        <v>46.35</v>
      </c>
      <c r="F153" s="16">
        <f t="shared" si="9"/>
        <v>8.4573894282632178E-2</v>
      </c>
      <c r="G153" s="40"/>
      <c r="H153" s="16"/>
      <c r="I153" s="16"/>
      <c r="J153" s="9">
        <v>24.16</v>
      </c>
      <c r="K153" s="9">
        <f t="shared" si="11"/>
        <v>33.823999999999998</v>
      </c>
      <c r="L153" s="16">
        <f t="shared" si="7"/>
        <v>0.48622280037842969</v>
      </c>
    </row>
    <row r="154" spans="1:12">
      <c r="A154" s="1" t="s">
        <v>3576</v>
      </c>
      <c r="B154" s="7">
        <v>53.11</v>
      </c>
      <c r="C154" s="7">
        <v>54.86</v>
      </c>
      <c r="D154" s="16">
        <f t="shared" si="10"/>
        <v>3.2950480135567693E-2</v>
      </c>
      <c r="E154" s="9">
        <v>46.35</v>
      </c>
      <c r="F154" s="16">
        <f t="shared" si="9"/>
        <v>0.18360302049622432</v>
      </c>
      <c r="G154" s="40"/>
      <c r="H154" s="16"/>
      <c r="I154" s="16"/>
      <c r="J154" s="9">
        <v>24.16</v>
      </c>
      <c r="K154" s="9">
        <f t="shared" si="11"/>
        <v>33.823999999999998</v>
      </c>
      <c r="L154" s="16">
        <f t="shared" si="7"/>
        <v>0.62192526017029337</v>
      </c>
    </row>
    <row r="155" spans="1:12">
      <c r="A155" s="1" t="s">
        <v>3609</v>
      </c>
      <c r="B155" s="7">
        <v>50.21</v>
      </c>
      <c r="C155" s="7">
        <v>51.96</v>
      </c>
      <c r="D155" s="16">
        <f t="shared" si="10"/>
        <v>3.4853614817765388E-2</v>
      </c>
      <c r="E155" s="9">
        <v>46.35</v>
      </c>
      <c r="F155" s="16">
        <f t="shared" si="9"/>
        <v>0.1210355987055016</v>
      </c>
      <c r="G155" s="40"/>
      <c r="H155" s="16"/>
      <c r="I155" s="16"/>
      <c r="J155" s="9">
        <v>24.16</v>
      </c>
      <c r="K155" s="9">
        <f t="shared" si="11"/>
        <v>33.823999999999998</v>
      </c>
      <c r="L155" s="16">
        <f t="shared" si="7"/>
        <v>0.53618732261116375</v>
      </c>
    </row>
    <row r="156" spans="1:12">
      <c r="A156" s="1" t="s">
        <v>3610</v>
      </c>
      <c r="B156" s="7">
        <v>48.29</v>
      </c>
      <c r="C156" s="7">
        <v>50.04</v>
      </c>
      <c r="D156" s="16">
        <f t="shared" si="10"/>
        <v>3.6239387036653553E-2</v>
      </c>
      <c r="E156" s="9">
        <v>46.35</v>
      </c>
      <c r="F156" s="16">
        <f t="shared" si="9"/>
        <v>7.9611650485436836E-2</v>
      </c>
      <c r="G156" s="40"/>
      <c r="H156" s="16"/>
      <c r="I156" s="16"/>
      <c r="J156" s="9">
        <v>24.16</v>
      </c>
      <c r="K156" s="9">
        <f t="shared" si="11"/>
        <v>33.823999999999998</v>
      </c>
      <c r="L156" s="16">
        <f t="shared" si="7"/>
        <v>0.47942289498580898</v>
      </c>
    </row>
    <row r="157" spans="1:12">
      <c r="A157" s="1" t="s">
        <v>3577</v>
      </c>
      <c r="B157" s="7">
        <v>51.6</v>
      </c>
      <c r="C157" s="7">
        <v>53.35</v>
      </c>
      <c r="D157" s="16">
        <f t="shared" si="10"/>
        <v>3.391472868217054E-2</v>
      </c>
      <c r="E157" s="9">
        <v>46.35</v>
      </c>
      <c r="F157" s="16">
        <f t="shared" si="9"/>
        <v>0.15102481121898598</v>
      </c>
      <c r="G157" s="40"/>
      <c r="H157" s="16"/>
      <c r="I157" s="16"/>
      <c r="J157" s="9">
        <v>24.16</v>
      </c>
      <c r="K157" s="9">
        <f t="shared" si="11"/>
        <v>33.823999999999998</v>
      </c>
      <c r="L157" s="16">
        <f t="shared" si="7"/>
        <v>0.57728240302743627</v>
      </c>
    </row>
    <row r="158" spans="1:12">
      <c r="A158" s="1" t="s">
        <v>3579</v>
      </c>
      <c r="B158" s="7">
        <v>50.49</v>
      </c>
      <c r="C158" s="7">
        <v>52.24</v>
      </c>
      <c r="D158" s="16">
        <f t="shared" si="10"/>
        <v>3.4660328777975834E-2</v>
      </c>
      <c r="E158" s="9">
        <v>46.35</v>
      </c>
      <c r="F158" s="16">
        <f t="shared" si="9"/>
        <v>0.12707659115426106</v>
      </c>
      <c r="G158" s="40"/>
      <c r="H158" s="16"/>
      <c r="I158" s="16"/>
      <c r="J158" s="9">
        <v>24.16</v>
      </c>
      <c r="K158" s="9">
        <f t="shared" si="11"/>
        <v>33.823999999999998</v>
      </c>
      <c r="L158" s="16">
        <f t="shared" si="7"/>
        <v>0.54446546830652809</v>
      </c>
    </row>
    <row r="159" spans="1:12">
      <c r="A159" s="1" t="s">
        <v>3580</v>
      </c>
      <c r="B159" s="7">
        <v>49.38</v>
      </c>
      <c r="C159" s="7">
        <v>51.13</v>
      </c>
      <c r="D159" s="16">
        <f t="shared" si="10"/>
        <v>3.5439449169704332E-2</v>
      </c>
      <c r="E159" s="9">
        <v>46.35</v>
      </c>
      <c r="F159" s="16">
        <f t="shared" si="9"/>
        <v>0.10312837108953615</v>
      </c>
      <c r="G159" s="40"/>
      <c r="H159" s="16"/>
      <c r="I159" s="16"/>
      <c r="J159" s="9">
        <v>24.16</v>
      </c>
      <c r="K159" s="9">
        <f t="shared" si="11"/>
        <v>33.823999999999998</v>
      </c>
      <c r="L159" s="16">
        <f t="shared" si="7"/>
        <v>0.51164853358561979</v>
      </c>
    </row>
    <row r="160" spans="1:12">
      <c r="A160" s="1" t="s">
        <v>3593</v>
      </c>
      <c r="B160" s="7">
        <v>48.42</v>
      </c>
      <c r="C160" s="7">
        <v>50.17</v>
      </c>
      <c r="D160" s="16">
        <f t="shared" si="10"/>
        <v>3.6142090045435768E-2</v>
      </c>
      <c r="E160" s="9">
        <v>46.35</v>
      </c>
      <c r="F160" s="16">
        <f t="shared" si="9"/>
        <v>8.2416396979503773E-2</v>
      </c>
      <c r="G160" s="40"/>
      <c r="H160" s="16"/>
      <c r="I160" s="16"/>
      <c r="J160" s="9">
        <v>24.16</v>
      </c>
      <c r="K160" s="9">
        <f t="shared" si="11"/>
        <v>33.823999999999998</v>
      </c>
      <c r="L160" s="16">
        <f t="shared" si="7"/>
        <v>0.48326631977294243</v>
      </c>
    </row>
    <row r="161" spans="1:12">
      <c r="A161" s="1" t="s">
        <v>3594</v>
      </c>
      <c r="B161" s="7">
        <v>47.46</v>
      </c>
      <c r="C161" s="7">
        <v>49.21</v>
      </c>
      <c r="D161" s="16">
        <f t="shared" si="10"/>
        <v>3.687315634218289E-2</v>
      </c>
      <c r="E161" s="9">
        <v>46.35</v>
      </c>
      <c r="F161" s="16">
        <f t="shared" si="9"/>
        <v>6.1704422869471399E-2</v>
      </c>
      <c r="G161" s="40"/>
      <c r="H161" s="16"/>
      <c r="I161" s="16"/>
      <c r="J161" s="9">
        <v>24.16</v>
      </c>
      <c r="K161" s="9">
        <f t="shared" si="11"/>
        <v>33.823999999999998</v>
      </c>
      <c r="L161" s="16">
        <f t="shared" si="7"/>
        <v>0.45488410596026502</v>
      </c>
    </row>
    <row r="162" spans="1:12">
      <c r="A162" s="1" t="s">
        <v>3614</v>
      </c>
      <c r="B162" s="11" t="s">
        <v>3534</v>
      </c>
      <c r="C162" s="11" t="s">
        <v>3534</v>
      </c>
      <c r="D162" s="16"/>
      <c r="E162" s="9"/>
      <c r="F162" s="16"/>
      <c r="G162" s="40"/>
      <c r="H162" s="16"/>
      <c r="I162" s="16"/>
      <c r="J162" s="9"/>
      <c r="K162" s="9">
        <f t="shared" si="11"/>
        <v>0</v>
      </c>
      <c r="L162" s="16"/>
    </row>
    <row r="163" spans="1:12">
      <c r="A163" s="1" t="s">
        <v>3615</v>
      </c>
      <c r="B163" s="11" t="s">
        <v>3534</v>
      </c>
      <c r="C163" s="11" t="s">
        <v>3534</v>
      </c>
      <c r="D163" s="16"/>
      <c r="E163" s="9"/>
      <c r="F163" s="16"/>
      <c r="G163" s="40"/>
      <c r="H163" s="16"/>
      <c r="I163" s="16"/>
      <c r="J163" s="9"/>
      <c r="K163" s="9">
        <f t="shared" si="11"/>
        <v>0</v>
      </c>
      <c r="L163" s="16"/>
    </row>
    <row r="164" spans="1:12">
      <c r="A164" s="1"/>
      <c r="B164" s="7"/>
      <c r="C164" s="7"/>
      <c r="D164" s="16"/>
      <c r="E164" s="9"/>
      <c r="F164" s="16"/>
      <c r="G164" s="40"/>
      <c r="H164" s="16"/>
      <c r="I164" s="16"/>
      <c r="J164" s="9"/>
      <c r="K164" s="9">
        <f t="shared" si="11"/>
        <v>0</v>
      </c>
      <c r="L164" s="16"/>
    </row>
    <row r="165" spans="1:12">
      <c r="A165" s="143"/>
      <c r="B165" s="143"/>
      <c r="C165" s="7"/>
      <c r="D165" s="16"/>
      <c r="E165" s="9"/>
      <c r="F165" s="16"/>
      <c r="G165" s="40"/>
      <c r="H165" s="16"/>
      <c r="I165" s="16"/>
      <c r="J165" s="9"/>
      <c r="K165" s="9">
        <f t="shared" si="11"/>
        <v>0</v>
      </c>
      <c r="L165" s="16"/>
    </row>
    <row r="166" spans="1:12" ht="12.75" customHeight="1">
      <c r="A166" s="144" t="s">
        <v>3866</v>
      </c>
      <c r="B166" s="144"/>
      <c r="C166" s="31"/>
      <c r="D166" s="43"/>
      <c r="E166" s="44"/>
      <c r="F166" s="16"/>
      <c r="G166" s="23" t="s">
        <v>3983</v>
      </c>
      <c r="H166" s="43">
        <f>AVERAGE(F167:F174)</f>
        <v>-7.4527744982290549E-3</v>
      </c>
      <c r="I166" s="43"/>
      <c r="J166" s="44"/>
      <c r="K166" s="9">
        <f t="shared" si="11"/>
        <v>0</v>
      </c>
      <c r="L166" s="43"/>
    </row>
    <row r="167" spans="1:12">
      <c r="A167" s="1" t="s">
        <v>3617</v>
      </c>
      <c r="B167" s="7">
        <v>32.74</v>
      </c>
      <c r="C167" s="7">
        <v>32.74</v>
      </c>
      <c r="D167" s="16">
        <f t="shared" ref="D167:D174" si="12">(C167-B167)/B167</f>
        <v>0</v>
      </c>
      <c r="E167" s="9">
        <v>33.880000000000003</v>
      </c>
      <c r="F167" s="16">
        <f t="shared" si="9"/>
        <v>-3.3648170011806387E-2</v>
      </c>
      <c r="G167" s="40"/>
      <c r="H167" s="16"/>
      <c r="I167" s="16"/>
      <c r="J167" s="9"/>
      <c r="K167" s="9">
        <f t="shared" si="11"/>
        <v>0</v>
      </c>
      <c r="L167" s="16"/>
    </row>
    <row r="168" spans="1:12">
      <c r="A168" s="1" t="s">
        <v>3618</v>
      </c>
      <c r="B168" s="7">
        <v>33.590000000000003</v>
      </c>
      <c r="C168" s="7">
        <v>33.590000000000003</v>
      </c>
      <c r="D168" s="16">
        <f t="shared" si="12"/>
        <v>0</v>
      </c>
      <c r="E168" s="9">
        <v>33.880000000000003</v>
      </c>
      <c r="F168" s="16">
        <f t="shared" si="9"/>
        <v>-8.5596221959858068E-3</v>
      </c>
      <c r="G168" s="40"/>
      <c r="H168" s="16"/>
      <c r="I168" s="16"/>
      <c r="J168" s="9"/>
      <c r="K168" s="9">
        <f t="shared" si="11"/>
        <v>0</v>
      </c>
      <c r="L168" s="16"/>
    </row>
    <row r="169" spans="1:12">
      <c r="A169" s="1" t="s">
        <v>3619</v>
      </c>
      <c r="B169" s="7">
        <v>33.24</v>
      </c>
      <c r="C169" s="7">
        <v>33.24</v>
      </c>
      <c r="D169" s="16">
        <f t="shared" si="12"/>
        <v>0</v>
      </c>
      <c r="E169" s="9">
        <v>33.880000000000003</v>
      </c>
      <c r="F169" s="16">
        <f t="shared" si="9"/>
        <v>-1.8890200708382543E-2</v>
      </c>
      <c r="G169" s="40"/>
      <c r="H169" s="16"/>
      <c r="I169" s="16"/>
      <c r="J169" s="9"/>
      <c r="K169" s="9">
        <f t="shared" si="11"/>
        <v>0</v>
      </c>
      <c r="L169" s="16"/>
    </row>
    <row r="170" spans="1:12">
      <c r="A170" s="1" t="s">
        <v>3620</v>
      </c>
      <c r="B170" s="7">
        <v>33.74</v>
      </c>
      <c r="C170" s="7">
        <v>33.74</v>
      </c>
      <c r="D170" s="16">
        <f t="shared" si="12"/>
        <v>0</v>
      </c>
      <c r="E170" s="9">
        <v>33.880000000000003</v>
      </c>
      <c r="F170" s="16">
        <f t="shared" si="9"/>
        <v>-4.1322314049586943E-3</v>
      </c>
      <c r="G170" s="40"/>
      <c r="H170" s="16"/>
      <c r="I170" s="16"/>
      <c r="J170" s="9"/>
      <c r="K170" s="9">
        <f t="shared" si="11"/>
        <v>0</v>
      </c>
      <c r="L170" s="16"/>
    </row>
    <row r="171" spans="1:12">
      <c r="A171" s="1" t="s">
        <v>3621</v>
      </c>
      <c r="B171" s="7">
        <v>34.74</v>
      </c>
      <c r="C171" s="7">
        <v>34.74</v>
      </c>
      <c r="D171" s="16">
        <f t="shared" si="12"/>
        <v>0</v>
      </c>
      <c r="E171" s="9">
        <v>33.880000000000003</v>
      </c>
      <c r="F171" s="16">
        <f t="shared" si="9"/>
        <v>2.5383707201889E-2</v>
      </c>
      <c r="G171" s="40"/>
      <c r="H171" s="16"/>
      <c r="I171" s="16"/>
      <c r="J171" s="9"/>
      <c r="K171" s="9">
        <f t="shared" si="11"/>
        <v>0</v>
      </c>
      <c r="L171" s="16"/>
    </row>
    <row r="172" spans="1:12">
      <c r="A172" s="1" t="s">
        <v>3622</v>
      </c>
      <c r="B172" s="7">
        <v>33.24</v>
      </c>
      <c r="C172" s="7">
        <v>33.24</v>
      </c>
      <c r="D172" s="16">
        <f t="shared" si="12"/>
        <v>0</v>
      </c>
      <c r="E172" s="9">
        <v>33.880000000000003</v>
      </c>
      <c r="F172" s="16">
        <f t="shared" si="9"/>
        <v>-1.8890200708382543E-2</v>
      </c>
      <c r="G172" s="40"/>
      <c r="H172" s="16"/>
      <c r="I172" s="16"/>
      <c r="J172" s="9"/>
      <c r="K172" s="9">
        <f t="shared" si="11"/>
        <v>0</v>
      </c>
      <c r="L172" s="16"/>
    </row>
    <row r="173" spans="1:12">
      <c r="A173" s="1" t="s">
        <v>3623</v>
      </c>
      <c r="B173" s="7">
        <v>33.74</v>
      </c>
      <c r="C173" s="7">
        <v>33.74</v>
      </c>
      <c r="D173" s="16">
        <f t="shared" si="12"/>
        <v>0</v>
      </c>
      <c r="E173" s="9">
        <v>33.880000000000003</v>
      </c>
      <c r="F173" s="16">
        <f t="shared" si="9"/>
        <v>-4.1322314049586943E-3</v>
      </c>
      <c r="G173" s="40"/>
      <c r="H173" s="16"/>
      <c r="I173" s="16"/>
      <c r="J173" s="9"/>
      <c r="K173" s="9">
        <f t="shared" si="11"/>
        <v>0</v>
      </c>
      <c r="L173" s="16"/>
    </row>
    <row r="174" spans="1:12">
      <c r="A174" s="1" t="s">
        <v>3624</v>
      </c>
      <c r="B174" s="7">
        <v>33.99</v>
      </c>
      <c r="C174" s="7">
        <v>33.99</v>
      </c>
      <c r="D174" s="16">
        <f t="shared" si="12"/>
        <v>0</v>
      </c>
      <c r="E174" s="9">
        <v>33.880000000000003</v>
      </c>
      <c r="F174" s="16">
        <f t="shared" si="9"/>
        <v>3.2467532467532296E-3</v>
      </c>
      <c r="G174" s="40"/>
      <c r="H174" s="16"/>
      <c r="I174" s="16"/>
      <c r="J174" s="9"/>
      <c r="K174" s="9">
        <f t="shared" si="11"/>
        <v>0</v>
      </c>
      <c r="L174" s="16"/>
    </row>
    <row r="175" spans="1:12" ht="63.75">
      <c r="A175" s="1" t="s">
        <v>3601</v>
      </c>
      <c r="B175" s="7" t="s">
        <v>3625</v>
      </c>
      <c r="C175" s="7" t="s">
        <v>3625</v>
      </c>
      <c r="D175" s="16"/>
      <c r="E175" s="9"/>
      <c r="F175" s="16"/>
      <c r="G175" s="40"/>
      <c r="H175" s="16"/>
      <c r="I175" s="16"/>
      <c r="J175" s="9"/>
      <c r="K175" s="9">
        <f t="shared" si="11"/>
        <v>0</v>
      </c>
      <c r="L175" s="16"/>
    </row>
    <row r="176" spans="1:12">
      <c r="A176" s="143"/>
      <c r="B176" s="143"/>
      <c r="C176" s="7"/>
      <c r="D176" s="16"/>
      <c r="E176" s="9"/>
      <c r="F176" s="16"/>
      <c r="G176" s="40"/>
      <c r="H176" s="16"/>
      <c r="I176" s="16"/>
      <c r="J176" s="9"/>
      <c r="K176" s="9">
        <f t="shared" si="11"/>
        <v>0</v>
      </c>
      <c r="L176" s="16"/>
    </row>
    <row r="177" spans="1:12" ht="12.75" customHeight="1">
      <c r="A177" s="144" t="s">
        <v>3626</v>
      </c>
      <c r="B177" s="144"/>
      <c r="C177" s="10"/>
      <c r="D177" s="16"/>
      <c r="E177" s="9"/>
      <c r="F177" s="16"/>
      <c r="G177" s="40"/>
      <c r="H177" s="16"/>
      <c r="I177" s="16"/>
      <c r="J177" s="9"/>
      <c r="K177" s="9">
        <f t="shared" si="11"/>
        <v>0</v>
      </c>
      <c r="L177" s="16"/>
    </row>
    <row r="178" spans="1:12">
      <c r="A178" s="1" t="s">
        <v>3627</v>
      </c>
      <c r="B178" s="7">
        <v>45.2</v>
      </c>
      <c r="C178" s="7">
        <v>45.2</v>
      </c>
      <c r="D178" s="16">
        <f>(C178-B178)/B178</f>
        <v>0</v>
      </c>
      <c r="E178" s="9"/>
      <c r="F178" s="16"/>
      <c r="G178" s="40"/>
      <c r="H178" s="16"/>
      <c r="I178" s="16"/>
      <c r="J178" s="9"/>
      <c r="K178" s="9">
        <f t="shared" si="11"/>
        <v>0</v>
      </c>
      <c r="L178" s="16"/>
    </row>
    <row r="179" spans="1:12">
      <c r="A179" s="1" t="s">
        <v>3628</v>
      </c>
      <c r="B179" s="7">
        <v>48.16</v>
      </c>
      <c r="C179" s="7">
        <v>48.16</v>
      </c>
      <c r="D179" s="16">
        <f>(C179-B179)/B179</f>
        <v>0</v>
      </c>
      <c r="E179" s="9"/>
      <c r="F179" s="16"/>
      <c r="G179" s="40"/>
      <c r="H179" s="16"/>
      <c r="I179" s="16"/>
      <c r="J179" s="9"/>
      <c r="K179" s="9">
        <f t="shared" si="11"/>
        <v>0</v>
      </c>
      <c r="L179" s="16"/>
    </row>
    <row r="180" spans="1:12">
      <c r="A180" s="143"/>
      <c r="B180" s="143"/>
      <c r="C180" s="7"/>
      <c r="D180" s="16"/>
      <c r="E180" s="9"/>
      <c r="F180" s="16"/>
      <c r="G180" s="40"/>
      <c r="H180" s="16"/>
      <c r="I180" s="16"/>
      <c r="J180" s="9"/>
      <c r="K180" s="9">
        <f t="shared" si="11"/>
        <v>0</v>
      </c>
      <c r="L180" s="16"/>
    </row>
    <row r="181" spans="1:12" ht="38.25">
      <c r="A181" s="2" t="s">
        <v>3954</v>
      </c>
      <c r="B181" s="12" t="s">
        <v>3510</v>
      </c>
      <c r="C181" s="31" t="s">
        <v>3480</v>
      </c>
      <c r="D181" s="43"/>
      <c r="E181" s="44"/>
      <c r="F181" s="16"/>
      <c r="G181" s="23" t="s">
        <v>3983</v>
      </c>
      <c r="H181" s="43">
        <f>AVERAGE(F182)</f>
        <v>-1.4735052422782545E-2</v>
      </c>
      <c r="I181" s="43"/>
      <c r="J181" s="44"/>
      <c r="K181" s="9">
        <f t="shared" si="11"/>
        <v>0</v>
      </c>
      <c r="L181" s="43"/>
    </row>
    <row r="182" spans="1:12">
      <c r="A182" s="1" t="s">
        <v>3694</v>
      </c>
      <c r="B182" s="7">
        <v>34.270000000000003</v>
      </c>
      <c r="C182" s="7">
        <v>34.770000000000003</v>
      </c>
      <c r="D182" s="16">
        <f>(C182-B182)/B182</f>
        <v>1.4590020426028595E-2</v>
      </c>
      <c r="E182" s="9">
        <v>35.29</v>
      </c>
      <c r="F182" s="16">
        <f t="shared" si="9"/>
        <v>-1.4735052422782545E-2</v>
      </c>
      <c r="G182" s="40"/>
      <c r="H182" s="16"/>
      <c r="I182" s="16"/>
      <c r="J182" s="9"/>
      <c r="K182" s="9">
        <f t="shared" si="11"/>
        <v>0</v>
      </c>
      <c r="L182" s="16"/>
    </row>
    <row r="183" spans="1:12">
      <c r="A183" s="1"/>
      <c r="B183" s="7"/>
      <c r="C183" s="7"/>
      <c r="D183" s="16"/>
      <c r="E183" s="9"/>
      <c r="F183" s="16"/>
      <c r="G183" s="40"/>
      <c r="H183" s="16"/>
      <c r="I183" s="16"/>
      <c r="J183" s="9"/>
      <c r="K183" s="9">
        <f t="shared" si="11"/>
        <v>0</v>
      </c>
      <c r="L183" s="16"/>
    </row>
    <row r="184" spans="1:12">
      <c r="A184" s="2" t="s">
        <v>3632</v>
      </c>
      <c r="B184" s="11" t="s">
        <v>3534</v>
      </c>
      <c r="C184" s="33" t="s">
        <v>3534</v>
      </c>
      <c r="D184" s="43"/>
      <c r="E184" s="44"/>
      <c r="F184" s="16"/>
      <c r="G184" s="23" t="s">
        <v>3983</v>
      </c>
      <c r="H184" s="43">
        <f>AVERAGE(F185:F187)</f>
        <v>0.14312841205791588</v>
      </c>
      <c r="I184" s="43"/>
      <c r="J184" s="44"/>
      <c r="K184" s="9">
        <f t="shared" si="11"/>
        <v>0</v>
      </c>
      <c r="L184" s="43"/>
    </row>
    <row r="185" spans="1:12">
      <c r="A185" s="1" t="s">
        <v>3876</v>
      </c>
      <c r="B185" s="7">
        <v>45.2</v>
      </c>
      <c r="C185" s="7">
        <v>45.2</v>
      </c>
      <c r="D185" s="16">
        <f>(C185-B185)/B185</f>
        <v>0</v>
      </c>
      <c r="E185" s="9">
        <v>42.13</v>
      </c>
      <c r="F185" s="16">
        <f t="shared" si="9"/>
        <v>7.2869689057678613E-2</v>
      </c>
      <c r="G185" s="40"/>
      <c r="H185" s="16"/>
      <c r="I185" s="16"/>
      <c r="J185" s="9"/>
      <c r="K185" s="9">
        <f t="shared" si="11"/>
        <v>0</v>
      </c>
      <c r="L185" s="16"/>
    </row>
    <row r="186" spans="1:12">
      <c r="A186" s="1" t="s">
        <v>3955</v>
      </c>
      <c r="B186" s="7">
        <v>48.16</v>
      </c>
      <c r="C186" s="7">
        <v>48.16</v>
      </c>
      <c r="D186" s="16">
        <f>(C186-B186)/B186</f>
        <v>0</v>
      </c>
      <c r="E186" s="9">
        <v>42.13</v>
      </c>
      <c r="F186" s="16">
        <f t="shared" si="9"/>
        <v>0.14312841205791582</v>
      </c>
      <c r="G186" s="40"/>
      <c r="H186" s="16"/>
      <c r="I186" s="16"/>
      <c r="J186" s="9"/>
      <c r="K186" s="9">
        <f t="shared" si="11"/>
        <v>0</v>
      </c>
      <c r="L186" s="16"/>
    </row>
    <row r="187" spans="1:12">
      <c r="A187" s="1" t="s">
        <v>3956</v>
      </c>
      <c r="B187" s="7">
        <v>51.12</v>
      </c>
      <c r="C187" s="7">
        <v>51.12</v>
      </c>
      <c r="D187" s="16">
        <f>(C187-B187)/B187</f>
        <v>0</v>
      </c>
      <c r="E187" s="9">
        <v>42.13</v>
      </c>
      <c r="F187" s="16">
        <f t="shared" si="9"/>
        <v>0.21338713505815321</v>
      </c>
      <c r="G187" s="40"/>
      <c r="H187" s="16"/>
      <c r="I187" s="16"/>
      <c r="J187" s="9"/>
      <c r="K187" s="9">
        <f t="shared" si="11"/>
        <v>0</v>
      </c>
      <c r="L187" s="16"/>
    </row>
    <row r="188" spans="1:12">
      <c r="A188" s="1"/>
      <c r="B188" s="7"/>
      <c r="C188" s="7"/>
      <c r="D188" s="16"/>
      <c r="E188" s="9"/>
      <c r="F188" s="16"/>
      <c r="G188" s="40"/>
      <c r="H188" s="16"/>
      <c r="I188" s="16"/>
      <c r="J188" s="9"/>
      <c r="K188" s="9">
        <f t="shared" si="11"/>
        <v>0</v>
      </c>
      <c r="L188" s="16"/>
    </row>
    <row r="189" spans="1:12">
      <c r="A189" s="2" t="s">
        <v>3636</v>
      </c>
      <c r="B189" s="11" t="s">
        <v>3534</v>
      </c>
      <c r="C189" s="33" t="s">
        <v>3534</v>
      </c>
      <c r="D189" s="43"/>
      <c r="E189" s="44"/>
      <c r="F189" s="16"/>
      <c r="G189" s="23" t="s">
        <v>3984</v>
      </c>
      <c r="H189" s="43"/>
      <c r="I189" s="43">
        <f>AVERAGE(F190)</f>
        <v>0</v>
      </c>
      <c r="J189" s="44"/>
      <c r="K189" s="9">
        <f t="shared" si="11"/>
        <v>0</v>
      </c>
      <c r="L189" s="43"/>
    </row>
    <row r="190" spans="1:12">
      <c r="A190" s="1" t="s">
        <v>3957</v>
      </c>
      <c r="B190" s="7">
        <v>30.92</v>
      </c>
      <c r="C190" s="7">
        <v>29.4</v>
      </c>
      <c r="D190" s="16">
        <f>(C190-B190)/B190</f>
        <v>-4.9159120310478754E-2</v>
      </c>
      <c r="E190" s="9">
        <v>29.4</v>
      </c>
      <c r="F190" s="16">
        <f t="shared" si="9"/>
        <v>0</v>
      </c>
      <c r="G190" s="40"/>
      <c r="H190" s="16"/>
      <c r="I190" s="16"/>
      <c r="J190" s="9">
        <v>19.7</v>
      </c>
      <c r="K190" s="9">
        <f t="shared" si="11"/>
        <v>27.58</v>
      </c>
      <c r="L190" s="16">
        <f>(C190-K190)/K190</f>
        <v>6.5989847715736058E-2</v>
      </c>
    </row>
    <row r="191" spans="1:12">
      <c r="A191" s="1"/>
      <c r="B191" s="7"/>
      <c r="C191" s="7"/>
      <c r="D191" s="16"/>
      <c r="E191" s="9"/>
      <c r="F191" s="16"/>
      <c r="G191" s="40"/>
      <c r="H191" s="16"/>
      <c r="I191" s="16"/>
      <c r="J191" s="9"/>
      <c r="K191" s="9">
        <f t="shared" si="11"/>
        <v>0</v>
      </c>
      <c r="L191" s="16"/>
    </row>
    <row r="192" spans="1:12">
      <c r="A192" s="2" t="s">
        <v>3933</v>
      </c>
      <c r="B192" s="7"/>
      <c r="C192" s="7"/>
      <c r="D192" s="16"/>
      <c r="E192" s="9"/>
      <c r="F192" s="16"/>
      <c r="G192" s="40"/>
      <c r="H192" s="16"/>
      <c r="I192" s="16"/>
      <c r="J192" s="9"/>
      <c r="K192" s="9">
        <f t="shared" si="11"/>
        <v>0</v>
      </c>
      <c r="L192" s="16"/>
    </row>
    <row r="193" spans="1:12">
      <c r="A193" s="1" t="s">
        <v>3880</v>
      </c>
      <c r="B193" s="7"/>
      <c r="C193" s="31"/>
      <c r="D193" s="43"/>
      <c r="E193" s="44"/>
      <c r="F193" s="16"/>
      <c r="G193" s="23" t="s">
        <v>3984</v>
      </c>
      <c r="H193" s="43"/>
      <c r="I193" s="43">
        <f>AVERAGE(F194)</f>
        <v>0</v>
      </c>
      <c r="J193" s="44"/>
      <c r="K193" s="9">
        <f t="shared" si="11"/>
        <v>0</v>
      </c>
      <c r="L193" s="43"/>
    </row>
    <row r="194" spans="1:12">
      <c r="A194" s="1" t="s">
        <v>3639</v>
      </c>
      <c r="B194" s="7">
        <v>20.48</v>
      </c>
      <c r="C194" s="7">
        <v>21.95</v>
      </c>
      <c r="D194" s="16">
        <f>(C194-B194)/B194</f>
        <v>7.1777343749999944E-2</v>
      </c>
      <c r="E194" s="9">
        <v>21.95</v>
      </c>
      <c r="F194" s="16">
        <f t="shared" si="9"/>
        <v>0</v>
      </c>
      <c r="G194" s="40"/>
      <c r="H194" s="16"/>
      <c r="I194" s="16"/>
      <c r="J194" s="9"/>
      <c r="K194" s="9">
        <f t="shared" si="11"/>
        <v>0</v>
      </c>
      <c r="L194" s="16"/>
    </row>
    <row r="195" spans="1:12">
      <c r="A195" s="1"/>
      <c r="B195" s="7"/>
      <c r="C195" s="7"/>
      <c r="D195" s="16"/>
      <c r="E195" s="9"/>
      <c r="F195" s="16"/>
      <c r="G195" s="40"/>
      <c r="H195" s="16"/>
      <c r="I195" s="16"/>
      <c r="J195" s="9"/>
      <c r="K195" s="9">
        <f t="shared" si="11"/>
        <v>0</v>
      </c>
      <c r="L195" s="16"/>
    </row>
    <row r="196" spans="1:12" ht="38.25">
      <c r="A196" s="2" t="s">
        <v>3640</v>
      </c>
      <c r="B196" s="12" t="s">
        <v>3510</v>
      </c>
      <c r="C196" s="12" t="s">
        <v>3510</v>
      </c>
      <c r="D196" s="43"/>
      <c r="E196" s="44"/>
      <c r="F196" s="16"/>
      <c r="G196" s="23" t="s">
        <v>3983</v>
      </c>
      <c r="H196" s="43">
        <f>AVERAGE(F197:F199)</f>
        <v>0.10169128666238493</v>
      </c>
      <c r="I196" s="43"/>
      <c r="J196" s="44"/>
      <c r="K196" s="9">
        <f t="shared" si="11"/>
        <v>0</v>
      </c>
      <c r="L196" s="43"/>
    </row>
    <row r="197" spans="1:12">
      <c r="A197" s="1" t="s">
        <v>3958</v>
      </c>
      <c r="B197" s="7">
        <v>46.6</v>
      </c>
      <c r="C197" s="7">
        <v>48.35</v>
      </c>
      <c r="D197" s="16">
        <f>(C197-B197)/B197</f>
        <v>3.7553648068669523E-2</v>
      </c>
      <c r="E197" s="9">
        <v>46.71</v>
      </c>
      <c r="F197" s="16">
        <f t="shared" si="9"/>
        <v>3.5110254763433962E-2</v>
      </c>
      <c r="G197" s="40"/>
      <c r="H197" s="16"/>
      <c r="I197" s="16"/>
      <c r="J197" s="9"/>
      <c r="K197" s="9">
        <f t="shared" si="11"/>
        <v>0</v>
      </c>
      <c r="L197" s="16"/>
    </row>
    <row r="198" spans="1:12">
      <c r="A198" s="1" t="s">
        <v>3601</v>
      </c>
      <c r="B198" s="7">
        <v>49.62</v>
      </c>
      <c r="C198" s="7">
        <v>51.46</v>
      </c>
      <c r="D198" s="16">
        <f>(C198-B198)/B198</f>
        <v>3.70818218460299E-2</v>
      </c>
      <c r="E198" s="9">
        <v>46.71</v>
      </c>
      <c r="F198" s="16">
        <f>(C198-E198)/E198</f>
        <v>0.10169128666238493</v>
      </c>
      <c r="G198" s="40"/>
      <c r="H198" s="16"/>
      <c r="I198" s="16"/>
      <c r="J198" s="9"/>
      <c r="K198" s="9">
        <f t="shared" si="11"/>
        <v>0</v>
      </c>
      <c r="L198" s="16"/>
    </row>
    <row r="199" spans="1:12">
      <c r="A199" s="1" t="s">
        <v>3766</v>
      </c>
      <c r="B199" s="7">
        <v>52.64</v>
      </c>
      <c r="C199" s="7">
        <v>54.57</v>
      </c>
      <c r="D199" s="16">
        <f>(C199-B199)/B199</f>
        <v>3.666413373860182E-2</v>
      </c>
      <c r="E199" s="9">
        <v>46.71</v>
      </c>
      <c r="F199" s="16">
        <f>(C199-E199)/E199</f>
        <v>0.1682723185613359</v>
      </c>
      <c r="G199" s="40"/>
      <c r="H199" s="16"/>
      <c r="I199" s="16"/>
      <c r="J199" s="9"/>
      <c r="K199" s="9">
        <f t="shared" si="11"/>
        <v>0</v>
      </c>
      <c r="L199" s="16"/>
    </row>
    <row r="200" spans="1:12">
      <c r="A200" s="1"/>
      <c r="B200" s="7"/>
      <c r="C200" s="7"/>
      <c r="D200" s="16"/>
      <c r="E200" s="9"/>
      <c r="F200" s="16"/>
      <c r="G200" s="40"/>
      <c r="H200" s="16"/>
      <c r="I200" s="16"/>
      <c r="J200" s="9"/>
      <c r="K200" s="9">
        <f t="shared" si="11"/>
        <v>0</v>
      </c>
      <c r="L200" s="16"/>
    </row>
    <row r="201" spans="1:12">
      <c r="A201" s="2" t="s">
        <v>3644</v>
      </c>
      <c r="B201" s="11" t="s">
        <v>3534</v>
      </c>
      <c r="C201" s="33" t="s">
        <v>3534</v>
      </c>
      <c r="D201" s="43"/>
      <c r="E201" s="44"/>
      <c r="F201" s="16"/>
      <c r="G201" s="23" t="s">
        <v>3983</v>
      </c>
      <c r="H201" s="43">
        <f>AVERAGE(F202:F204)</f>
        <v>0.11977084998667741</v>
      </c>
      <c r="I201" s="43"/>
      <c r="J201" s="44"/>
      <c r="K201" s="9">
        <f t="shared" si="11"/>
        <v>0</v>
      </c>
      <c r="L201" s="43"/>
    </row>
    <row r="202" spans="1:12">
      <c r="A202" s="1" t="s">
        <v>3645</v>
      </c>
      <c r="B202" s="7">
        <v>26</v>
      </c>
      <c r="C202" s="7">
        <v>53.45</v>
      </c>
      <c r="D202" s="16">
        <f>(C202-B202)/B202</f>
        <v>1.0557692307692308</v>
      </c>
      <c r="E202" s="9">
        <v>50.04</v>
      </c>
      <c r="F202" s="16">
        <f>(C202-E202)/E202</f>
        <v>6.8145483613109584E-2</v>
      </c>
      <c r="G202" s="40"/>
      <c r="H202" s="16"/>
      <c r="I202" s="16"/>
      <c r="J202" s="9"/>
      <c r="K202" s="9">
        <f t="shared" si="11"/>
        <v>0</v>
      </c>
      <c r="L202" s="16"/>
    </row>
    <row r="203" spans="1:12">
      <c r="A203" s="1" t="s">
        <v>3646</v>
      </c>
      <c r="B203" s="7">
        <v>26</v>
      </c>
      <c r="C203" s="7">
        <v>56.2</v>
      </c>
      <c r="D203" s="16">
        <f>(C203-B203)/B203</f>
        <v>1.1615384615384616</v>
      </c>
      <c r="E203" s="9">
        <v>50.04</v>
      </c>
      <c r="F203" s="16">
        <f>(C203-E203)/E203</f>
        <v>0.12310151878497209</v>
      </c>
      <c r="G203" s="40"/>
      <c r="H203" s="16"/>
      <c r="I203" s="16"/>
      <c r="J203" s="9"/>
      <c r="K203" s="9">
        <f t="shared" si="11"/>
        <v>0</v>
      </c>
      <c r="L203" s="16"/>
    </row>
    <row r="204" spans="1:12">
      <c r="A204" s="1" t="s">
        <v>3647</v>
      </c>
      <c r="B204" s="7">
        <v>26</v>
      </c>
      <c r="C204" s="7">
        <v>58.45</v>
      </c>
      <c r="D204" s="16">
        <f>(C204-B204)/B204</f>
        <v>1.2480769230769231</v>
      </c>
      <c r="E204" s="9">
        <v>50.04</v>
      </c>
      <c r="F204" s="16">
        <f>(C204-E204)/E204</f>
        <v>0.16806554756195052</v>
      </c>
      <c r="G204" s="40"/>
      <c r="H204" s="16"/>
      <c r="I204" s="16"/>
      <c r="J204" s="9"/>
      <c r="K204" s="9">
        <f t="shared" si="11"/>
        <v>0</v>
      </c>
      <c r="L204" s="16"/>
    </row>
    <row r="205" spans="1:12">
      <c r="A205" s="1"/>
      <c r="B205" s="7"/>
      <c r="C205" s="7"/>
      <c r="D205" s="16"/>
      <c r="E205" s="9"/>
      <c r="F205" s="16"/>
      <c r="G205" s="40"/>
      <c r="H205" s="16"/>
      <c r="I205" s="16"/>
      <c r="J205" s="9"/>
      <c r="K205" s="9">
        <f t="shared" si="11"/>
        <v>0</v>
      </c>
      <c r="L205" s="16"/>
    </row>
    <row r="206" spans="1:12">
      <c r="A206" s="2" t="s">
        <v>3648</v>
      </c>
      <c r="B206" s="7"/>
      <c r="C206" s="31"/>
      <c r="D206" s="43"/>
      <c r="E206" s="44"/>
      <c r="F206" s="16"/>
      <c r="G206" s="23" t="s">
        <v>3984</v>
      </c>
      <c r="H206" s="43"/>
      <c r="I206" s="43">
        <f>AVERAGE(F207)</f>
        <v>0</v>
      </c>
      <c r="J206" s="44"/>
      <c r="K206" s="9">
        <f t="shared" si="11"/>
        <v>0</v>
      </c>
      <c r="L206" s="43"/>
    </row>
    <row r="207" spans="1:12">
      <c r="A207" s="1" t="s">
        <v>3650</v>
      </c>
      <c r="B207" s="7">
        <v>42.14</v>
      </c>
      <c r="C207" s="7">
        <v>27.51</v>
      </c>
      <c r="D207" s="16">
        <f>(C207-B207)/B207</f>
        <v>-0.34717607973421927</v>
      </c>
      <c r="E207" s="9">
        <v>27.51</v>
      </c>
      <c r="F207" s="16">
        <f>(C207-E207)/E207</f>
        <v>0</v>
      </c>
      <c r="G207" s="40"/>
      <c r="H207" s="16"/>
      <c r="I207" s="16"/>
      <c r="J207" s="9"/>
      <c r="K207" s="9">
        <f t="shared" si="11"/>
        <v>0</v>
      </c>
      <c r="L207" s="16"/>
    </row>
    <row r="208" spans="1:12">
      <c r="A208" s="1"/>
      <c r="B208" s="7"/>
      <c r="C208" s="7"/>
      <c r="D208" s="16"/>
      <c r="E208" s="9"/>
      <c r="F208" s="16"/>
      <c r="G208" s="40"/>
      <c r="H208" s="16"/>
      <c r="I208" s="16"/>
      <c r="J208" s="9"/>
      <c r="K208" s="9">
        <f t="shared" si="11"/>
        <v>0</v>
      </c>
      <c r="L208" s="16"/>
    </row>
    <row r="209" spans="1:12">
      <c r="A209" s="2" t="s">
        <v>3651</v>
      </c>
      <c r="B209" s="11" t="s">
        <v>3534</v>
      </c>
      <c r="C209" s="33" t="s">
        <v>3534</v>
      </c>
      <c r="D209" s="43"/>
      <c r="E209" s="44"/>
      <c r="F209" s="16"/>
      <c r="G209" s="23" t="s">
        <v>3983</v>
      </c>
      <c r="H209" s="43">
        <f>AVERAGE(F210)</f>
        <v>-0.14775663612872914</v>
      </c>
      <c r="I209" s="43"/>
      <c r="J209" s="44"/>
      <c r="K209" s="9">
        <f t="shared" si="11"/>
        <v>0</v>
      </c>
      <c r="L209" s="43"/>
    </row>
    <row r="210" spans="1:12">
      <c r="A210" s="1" t="s">
        <v>3652</v>
      </c>
      <c r="B210" s="7">
        <v>35.49</v>
      </c>
      <c r="C210" s="7">
        <v>36.28</v>
      </c>
      <c r="D210" s="16">
        <f>(C210-B210)/B210</f>
        <v>2.2259791490560697E-2</v>
      </c>
      <c r="E210" s="9">
        <v>42.57</v>
      </c>
      <c r="F210" s="16">
        <f>(C210-E210)/E210</f>
        <v>-0.14775663612872914</v>
      </c>
      <c r="G210" s="40"/>
      <c r="H210" s="16"/>
      <c r="I210" s="16"/>
      <c r="J210" s="9"/>
      <c r="K210" s="9">
        <f t="shared" si="11"/>
        <v>0</v>
      </c>
      <c r="L210" s="16"/>
    </row>
    <row r="211" spans="1:12">
      <c r="A211" s="1"/>
      <c r="B211" s="7"/>
      <c r="C211" s="7"/>
      <c r="D211" s="16"/>
      <c r="E211" s="9"/>
      <c r="F211" s="16"/>
      <c r="G211" s="40"/>
      <c r="H211" s="16"/>
      <c r="I211" s="16"/>
      <c r="J211" s="9"/>
      <c r="K211" s="9">
        <f t="shared" si="11"/>
        <v>0</v>
      </c>
      <c r="L211" s="16"/>
    </row>
    <row r="212" spans="1:12" ht="38.25">
      <c r="A212" s="2" t="s">
        <v>3655</v>
      </c>
      <c r="B212" s="12" t="s">
        <v>3977</v>
      </c>
      <c r="C212" s="44" t="s">
        <v>3997</v>
      </c>
      <c r="D212" s="43"/>
      <c r="E212" s="44"/>
      <c r="F212" s="16"/>
      <c r="G212" s="23" t="s">
        <v>3983</v>
      </c>
      <c r="H212" s="43">
        <f>AVERAGE(F213)</f>
        <v>1.0195758564437194E-2</v>
      </c>
      <c r="I212" s="43"/>
      <c r="J212" s="44"/>
      <c r="K212" s="9">
        <f t="shared" si="11"/>
        <v>0</v>
      </c>
      <c r="L212" s="43"/>
    </row>
    <row r="213" spans="1:12">
      <c r="A213" s="1" t="s">
        <v>3654</v>
      </c>
      <c r="B213" s="7">
        <v>19</v>
      </c>
      <c r="C213" s="7">
        <v>24.77</v>
      </c>
      <c r="D213" s="16">
        <f>(C213-B213)/B213</f>
        <v>0.30368421052631578</v>
      </c>
      <c r="E213" s="9">
        <v>24.52</v>
      </c>
      <c r="F213" s="16">
        <f>(C213-E213)/E213</f>
        <v>1.0195758564437194E-2</v>
      </c>
      <c r="G213" s="23" t="s">
        <v>3983</v>
      </c>
      <c r="H213" s="43">
        <f>AVERAGE(F214)</f>
        <v>3.1512605042016723E-2</v>
      </c>
      <c r="I213" s="16"/>
      <c r="J213" s="9"/>
      <c r="K213" s="9">
        <f t="shared" si="11"/>
        <v>0</v>
      </c>
      <c r="L213" s="16"/>
    </row>
    <row r="214" spans="1:12" ht="25.5">
      <c r="A214" s="1" t="s">
        <v>3699</v>
      </c>
      <c r="B214" s="7">
        <v>25</v>
      </c>
      <c r="C214" s="7">
        <v>34.369999999999997</v>
      </c>
      <c r="D214" s="16">
        <f>(C214-B214)/B214</f>
        <v>0.37479999999999991</v>
      </c>
      <c r="E214" s="9">
        <v>33.32</v>
      </c>
      <c r="F214" s="16">
        <f>(C214-E214)/E214</f>
        <v>3.1512605042016723E-2</v>
      </c>
      <c r="G214" s="40"/>
      <c r="H214" s="16"/>
      <c r="I214" s="16"/>
      <c r="J214" s="9"/>
      <c r="K214" s="9">
        <f t="shared" ref="K214:K232" si="13">J214*1.4</f>
        <v>0</v>
      </c>
      <c r="L214" s="16"/>
    </row>
    <row r="215" spans="1:12">
      <c r="A215" s="1"/>
      <c r="B215" s="7"/>
      <c r="C215" s="7"/>
      <c r="D215" s="16"/>
      <c r="E215" s="9"/>
      <c r="F215" s="16"/>
      <c r="G215" s="40"/>
      <c r="H215" s="16"/>
      <c r="I215" s="16"/>
      <c r="J215" s="9"/>
      <c r="K215" s="9">
        <f t="shared" si="13"/>
        <v>0</v>
      </c>
      <c r="L215" s="16"/>
    </row>
    <row r="216" spans="1:12" ht="51">
      <c r="A216" s="2" t="s">
        <v>3662</v>
      </c>
      <c r="B216" s="12" t="s">
        <v>3547</v>
      </c>
      <c r="C216" s="12" t="s">
        <v>3547</v>
      </c>
      <c r="D216" s="16"/>
      <c r="E216" s="9"/>
      <c r="F216" s="16"/>
      <c r="G216" s="40"/>
      <c r="H216" s="16"/>
      <c r="I216" s="16"/>
      <c r="J216" s="9"/>
      <c r="K216" s="9">
        <f t="shared" si="13"/>
        <v>0</v>
      </c>
      <c r="L216" s="16"/>
    </row>
    <row r="217" spans="1:12">
      <c r="A217" s="1" t="s">
        <v>3663</v>
      </c>
      <c r="B217" s="7">
        <v>30.82</v>
      </c>
      <c r="C217" s="7">
        <v>30.82</v>
      </c>
      <c r="D217" s="16">
        <f>(C217-B217)/B217</f>
        <v>0</v>
      </c>
      <c r="E217" s="9"/>
      <c r="F217" s="16"/>
      <c r="G217" s="40"/>
      <c r="H217" s="16"/>
      <c r="I217" s="16"/>
      <c r="J217" s="9"/>
      <c r="K217" s="9">
        <f t="shared" si="13"/>
        <v>0</v>
      </c>
      <c r="L217" s="16"/>
    </row>
    <row r="218" spans="1:12">
      <c r="A218" s="143"/>
      <c r="B218" s="143"/>
      <c r="C218" s="7"/>
      <c r="D218" s="16"/>
      <c r="E218" s="9"/>
      <c r="F218" s="16"/>
      <c r="G218" s="40"/>
      <c r="H218" s="16"/>
      <c r="I218" s="16"/>
      <c r="J218" s="9"/>
      <c r="K218" s="9">
        <f t="shared" si="13"/>
        <v>0</v>
      </c>
      <c r="L218" s="16"/>
    </row>
    <row r="219" spans="1:12">
      <c r="A219" s="2" t="s">
        <v>3664</v>
      </c>
      <c r="B219" s="7"/>
      <c r="C219" s="31"/>
      <c r="D219" s="43"/>
      <c r="E219" s="44"/>
      <c r="F219" s="16"/>
      <c r="G219" s="23" t="s">
        <v>3984</v>
      </c>
      <c r="H219" s="43"/>
      <c r="I219" s="43">
        <f>AVERAGE(F220)</f>
        <v>3.4311287916459536E-2</v>
      </c>
      <c r="J219" s="44"/>
      <c r="K219" s="9">
        <f t="shared" si="13"/>
        <v>0</v>
      </c>
      <c r="L219" s="43"/>
    </row>
    <row r="220" spans="1:12">
      <c r="A220" s="1" t="s">
        <v>3665</v>
      </c>
      <c r="B220" s="7">
        <v>20.8</v>
      </c>
      <c r="C220" s="7">
        <v>20.8</v>
      </c>
      <c r="D220" s="16">
        <f>(C220-B220)/B220</f>
        <v>0</v>
      </c>
      <c r="E220" s="9">
        <v>20.11</v>
      </c>
      <c r="F220" s="16">
        <f>(C220-E220)/E220</f>
        <v>3.4311287916459536E-2</v>
      </c>
      <c r="G220" s="40"/>
      <c r="H220" s="16"/>
      <c r="I220" s="16"/>
      <c r="J220" s="9">
        <v>21.72</v>
      </c>
      <c r="K220" s="9">
        <f t="shared" si="13"/>
        <v>30.407999999999998</v>
      </c>
      <c r="L220" s="16">
        <f>(C220-K220)/K220</f>
        <v>-0.31596948171533801</v>
      </c>
    </row>
    <row r="221" spans="1:12">
      <c r="A221" s="1"/>
      <c r="B221" s="7"/>
      <c r="C221" s="7"/>
      <c r="D221" s="16"/>
      <c r="E221" s="9"/>
      <c r="F221" s="16"/>
      <c r="G221" s="40"/>
      <c r="H221" s="16"/>
      <c r="I221" s="16"/>
      <c r="J221" s="9"/>
      <c r="K221" s="9">
        <f t="shared" si="13"/>
        <v>0</v>
      </c>
      <c r="L221" s="16"/>
    </row>
    <row r="222" spans="1:12">
      <c r="A222" s="2" t="s">
        <v>3666</v>
      </c>
      <c r="B222" s="7"/>
      <c r="C222" s="31" t="s">
        <v>4006</v>
      </c>
      <c r="D222" s="43"/>
      <c r="E222" s="44"/>
      <c r="F222" s="16"/>
      <c r="G222" s="23" t="s">
        <v>3983</v>
      </c>
      <c r="H222" s="43">
        <f>AVERAGE(F223)</f>
        <v>0</v>
      </c>
      <c r="I222" s="43"/>
      <c r="J222" s="44"/>
      <c r="K222" s="9">
        <f t="shared" si="13"/>
        <v>0</v>
      </c>
      <c r="L222" s="43"/>
    </row>
    <row r="223" spans="1:12">
      <c r="A223" s="1" t="s">
        <v>3667</v>
      </c>
      <c r="B223" s="7">
        <v>21.32</v>
      </c>
      <c r="C223" s="7">
        <v>54.49</v>
      </c>
      <c r="D223" s="16">
        <f>(C223-B223)/B223</f>
        <v>1.5558161350844277</v>
      </c>
      <c r="E223" s="9">
        <v>54.49</v>
      </c>
      <c r="F223" s="16">
        <f>(C223-E223)/E223</f>
        <v>0</v>
      </c>
      <c r="G223" s="40"/>
      <c r="H223" s="16"/>
      <c r="I223" s="16"/>
      <c r="J223" s="9"/>
      <c r="K223" s="9">
        <f t="shared" si="13"/>
        <v>0</v>
      </c>
      <c r="L223" s="16"/>
    </row>
    <row r="224" spans="1:12">
      <c r="A224" s="1"/>
      <c r="B224" s="7"/>
      <c r="C224" s="7"/>
      <c r="D224" s="16"/>
      <c r="E224" s="9"/>
      <c r="F224" s="16"/>
      <c r="G224" s="40"/>
      <c r="H224" s="16"/>
      <c r="I224" s="16"/>
      <c r="J224" s="9"/>
      <c r="K224" s="9">
        <f t="shared" si="13"/>
        <v>0</v>
      </c>
      <c r="L224" s="16"/>
    </row>
    <row r="225" spans="1:12" ht="63.75">
      <c r="A225" s="2" t="s">
        <v>3668</v>
      </c>
      <c r="B225" s="12" t="s">
        <v>3649</v>
      </c>
      <c r="C225" s="12" t="s">
        <v>3649</v>
      </c>
      <c r="D225" s="43"/>
      <c r="E225" s="44"/>
      <c r="F225" s="16"/>
      <c r="G225" s="23" t="s">
        <v>3983</v>
      </c>
      <c r="H225" s="43">
        <f>AVERAGE(F226)</f>
        <v>2.1562766865926515E-2</v>
      </c>
      <c r="I225" s="43"/>
      <c r="J225" s="44"/>
      <c r="K225" s="9">
        <f t="shared" si="13"/>
        <v>0</v>
      </c>
      <c r="L225" s="43"/>
    </row>
    <row r="226" spans="1:12" ht="25.5">
      <c r="A226" s="1" t="s">
        <v>3670</v>
      </c>
      <c r="B226" s="7">
        <v>46.1</v>
      </c>
      <c r="C226" s="7">
        <v>47.85</v>
      </c>
      <c r="D226" s="16">
        <f>(C226-B226)/B226</f>
        <v>3.7960954446854663E-2</v>
      </c>
      <c r="E226" s="9">
        <v>46.84</v>
      </c>
      <c r="F226" s="16">
        <f>(C226-E226)/E226</f>
        <v>2.1562766865926515E-2</v>
      </c>
      <c r="G226" s="40"/>
      <c r="H226" s="16"/>
      <c r="I226" s="16"/>
      <c r="J226" s="9"/>
      <c r="K226" s="9">
        <f t="shared" si="13"/>
        <v>0</v>
      </c>
      <c r="L226" s="16"/>
    </row>
    <row r="227" spans="1:12">
      <c r="A227" s="1"/>
      <c r="B227" s="7"/>
      <c r="C227" s="7"/>
      <c r="D227" s="16"/>
      <c r="E227" s="9"/>
      <c r="F227" s="16"/>
      <c r="G227" s="40"/>
      <c r="H227" s="16"/>
      <c r="I227" s="16"/>
      <c r="J227" s="9"/>
      <c r="K227" s="9">
        <f t="shared" si="13"/>
        <v>0</v>
      </c>
      <c r="L227" s="16"/>
    </row>
    <row r="228" spans="1:12">
      <c r="A228" s="2" t="s">
        <v>3671</v>
      </c>
      <c r="B228" s="7"/>
      <c r="C228" s="31" t="s">
        <v>3487</v>
      </c>
      <c r="D228" s="43"/>
      <c r="E228" s="44"/>
      <c r="F228" s="16"/>
      <c r="G228" s="23" t="s">
        <v>3983</v>
      </c>
      <c r="H228" s="43">
        <f>AVERAGE(F229:F232)</f>
        <v>-2.9934847684451788E-3</v>
      </c>
      <c r="I228" s="43"/>
      <c r="J228" s="44"/>
      <c r="K228" s="9">
        <f t="shared" si="13"/>
        <v>0</v>
      </c>
      <c r="L228" s="43"/>
    </row>
    <row r="229" spans="1:12">
      <c r="A229" s="1" t="s">
        <v>3672</v>
      </c>
      <c r="B229" s="7">
        <v>44.14</v>
      </c>
      <c r="C229" s="7">
        <v>56.62</v>
      </c>
      <c r="D229" s="16">
        <f>(C229-B229)/B229</f>
        <v>0.28273674671499766</v>
      </c>
      <c r="E229" s="9">
        <v>56.79</v>
      </c>
      <c r="F229" s="16">
        <f>(C229-E229)/E229</f>
        <v>-2.9934847684451788E-3</v>
      </c>
      <c r="G229" s="40"/>
      <c r="H229" s="16"/>
      <c r="I229" s="16"/>
      <c r="J229" s="9"/>
      <c r="K229" s="9">
        <f t="shared" si="13"/>
        <v>0</v>
      </c>
      <c r="L229" s="16"/>
    </row>
    <row r="230" spans="1:12">
      <c r="A230" s="1"/>
      <c r="B230" s="7"/>
      <c r="C230" s="7"/>
      <c r="D230" s="16"/>
      <c r="E230" s="9"/>
      <c r="F230" s="16"/>
      <c r="G230" s="40"/>
      <c r="H230" s="16"/>
      <c r="I230" s="16"/>
      <c r="J230" s="9"/>
      <c r="K230" s="9">
        <f t="shared" si="13"/>
        <v>0</v>
      </c>
      <c r="L230" s="16"/>
    </row>
    <row r="231" spans="1:12">
      <c r="A231" s="2" t="s">
        <v>3673</v>
      </c>
      <c r="B231" s="7"/>
      <c r="C231" s="31" t="s">
        <v>3487</v>
      </c>
      <c r="D231" s="43"/>
      <c r="E231" s="44"/>
      <c r="F231" s="16"/>
      <c r="G231" s="23"/>
      <c r="H231" s="43"/>
      <c r="I231" s="43"/>
      <c r="J231" s="44"/>
      <c r="K231" s="9">
        <f t="shared" si="13"/>
        <v>0</v>
      </c>
      <c r="L231" s="43"/>
    </row>
    <row r="232" spans="1:12">
      <c r="A232" s="1" t="s">
        <v>3674</v>
      </c>
      <c r="B232" s="7">
        <v>44.14</v>
      </c>
      <c r="C232" s="7">
        <v>56.62</v>
      </c>
      <c r="D232" s="16">
        <f>(C232-B232)/B232</f>
        <v>0.28273674671499766</v>
      </c>
      <c r="E232" s="9">
        <v>56.79</v>
      </c>
      <c r="F232" s="16">
        <f>(C232-E232)/E232</f>
        <v>-2.9934847684451788E-3</v>
      </c>
      <c r="G232" s="40"/>
      <c r="H232" s="16"/>
      <c r="I232" s="16"/>
      <c r="J232" s="9"/>
      <c r="K232" s="9">
        <f t="shared" si="13"/>
        <v>0</v>
      </c>
      <c r="L232" s="16"/>
    </row>
    <row r="235" spans="1:12">
      <c r="A235" s="8" t="s">
        <v>3988</v>
      </c>
      <c r="B235" s="7"/>
      <c r="D235" s="16"/>
      <c r="E235" s="40"/>
    </row>
    <row r="236" spans="1:12">
      <c r="A236" s="1" t="s">
        <v>3986</v>
      </c>
      <c r="B236" s="7"/>
      <c r="D236" s="16"/>
      <c r="G236" s="40">
        <f>COUNTIF(G4:G232,"Y")</f>
        <v>29</v>
      </c>
    </row>
    <row r="237" spans="1:12">
      <c r="A237" s="1" t="s">
        <v>3987</v>
      </c>
      <c r="B237" s="7"/>
      <c r="D237" s="16"/>
      <c r="G237" s="41">
        <f>COUNTIF(G4:G232,"N")</f>
        <v>9</v>
      </c>
    </row>
    <row r="238" spans="1:12">
      <c r="A238" s="8" t="s">
        <v>3985</v>
      </c>
      <c r="B238"/>
      <c r="D238" s="16"/>
      <c r="G238" s="23">
        <f>SUM(G236:G237)</f>
        <v>38</v>
      </c>
    </row>
  </sheetData>
  <mergeCells count="22">
    <mergeCell ref="A180:B180"/>
    <mergeCell ref="A218:B218"/>
    <mergeCell ref="A165:B165"/>
    <mergeCell ref="A166:B166"/>
    <mergeCell ref="A176:B176"/>
    <mergeCell ref="A177:B177"/>
    <mergeCell ref="C129:C130"/>
    <mergeCell ref="C146:C147"/>
    <mergeCell ref="A27:B27"/>
    <mergeCell ref="A28:B28"/>
    <mergeCell ref="A68:B68"/>
    <mergeCell ref="A72:B72"/>
    <mergeCell ref="C83:C84"/>
    <mergeCell ref="C108:C109"/>
    <mergeCell ref="B108:B109"/>
    <mergeCell ref="A128:B128"/>
    <mergeCell ref="B129:B130"/>
    <mergeCell ref="B146:B147"/>
    <mergeCell ref="A82:B82"/>
    <mergeCell ref="B83:B84"/>
    <mergeCell ref="A104:B104"/>
    <mergeCell ref="A107:B107"/>
  </mergeCells>
  <phoneticPr fontId="2" type="noConversion"/>
  <hyperlinks>
    <hyperlink ref="B4" location="SHEET" display="SHEET"/>
    <hyperlink ref="B15" location="BRICK ZONE 07" display="BRICK ZONE 07"/>
    <hyperlink ref="B20" location="carp zone" display="carp zone"/>
    <hyperlink ref="B56" location="laborer zone" display="laborer zone"/>
    <hyperlink ref="B66" location="laborer zone" display="laborer zone"/>
    <hyperlink ref="B69" location="Hod Brick Zone" display="Hod Brick Zone"/>
    <hyperlink ref="B73" location="Hod Plaster Zone" display="Hod Plaster Zone"/>
    <hyperlink ref="B78" r:id="rId1" display="http://www.laborcommissioner.com/10rates/2010 Amendments/2010Amendment1.htm"/>
    <hyperlink ref="A84" location="laborer group" display="laborer group"/>
    <hyperlink ref="B83" location="laborer zone" display="laborer zone"/>
    <hyperlink ref="B100" r:id="rId2" display="http://www.laborcommissioner.com/10rates/2010 Amendments/2010Amendment2.htm"/>
    <hyperlink ref="A109" location="OP GROUPS" display="OP GROUPS"/>
    <hyperlink ref="B108" location="OP ZONE" display="OP ZONE"/>
    <hyperlink ref="A130" location="OP GROUP  STEEL" display="OP GROUP  STEEL"/>
    <hyperlink ref="B129" location="OP ZONE" display="OP ZONE"/>
    <hyperlink ref="A147" location="OP GROUP PILEDRIVER" display="OP GROUP PILEDRIVER"/>
    <hyperlink ref="B146" location="OP ZONE" display="OP ZONE"/>
    <hyperlink ref="B181" location="PLAS ZONE" display="PLAS ZONE"/>
    <hyperlink ref="B196" location="SHEET" display="SHEET"/>
    <hyperlink ref="B216" location="laborer zone" display="laborer zone"/>
    <hyperlink ref="B225" location="OP ZONE" display="OP ZONE"/>
    <hyperlink ref="C20" location="carp zone" display="carp zone"/>
    <hyperlink ref="C56" location="laborer zone" display="laborer zone"/>
    <hyperlink ref="C66" location="laborer zone" display="laborer zone"/>
    <hyperlink ref="C83" location="laborer zone" display="laborer zone"/>
    <hyperlink ref="C108" location="OP ZONE" display="OP ZONE"/>
    <hyperlink ref="C129" location="OP ZONE" display="OP ZONE"/>
    <hyperlink ref="C146" location="OP ZONE" display="OP ZONE"/>
    <hyperlink ref="C196" location="SHEET" display="SHEET"/>
    <hyperlink ref="B212" location="TILE 09" display="TILE 09"/>
    <hyperlink ref="C216" location="laborer zone" display="laborer zone"/>
    <hyperlink ref="C225" location="OP ZONE" display="OP ZONE"/>
    <hyperlink ref="A1" r:id="rId3" display="http://www.laborcommissioner.com/10rates/lyon.html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0"/>
  <sheetViews>
    <sheetView workbookViewId="0">
      <selection activeCell="M1" sqref="M1:M1048576"/>
    </sheetView>
  </sheetViews>
  <sheetFormatPr defaultRowHeight="12.75"/>
  <cols>
    <col min="1" max="1" width="31.140625" customWidth="1"/>
    <col min="2" max="3" width="9.140625" style="9"/>
    <col min="4" max="4" width="12.42578125" customWidth="1"/>
    <col min="6" max="6" width="19" customWidth="1"/>
    <col min="8" max="8" width="10.5703125" customWidth="1"/>
    <col min="9" max="9" width="10.28515625" customWidth="1"/>
    <col min="11" max="11" width="16.7109375" customWidth="1"/>
    <col min="12" max="12" width="13.28515625" customWidth="1"/>
  </cols>
  <sheetData>
    <row r="1" spans="1:12" ht="38.25">
      <c r="A1" s="48" t="s">
        <v>4007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37" t="s">
        <v>3980</v>
      </c>
      <c r="B2" s="37"/>
      <c r="C2" s="37"/>
      <c r="D2" s="21">
        <f>AVERAGE(D5:D234)</f>
        <v>4.9853811221024613E-2</v>
      </c>
      <c r="F2" s="21">
        <f>AVERAGE(F5:F234)</f>
        <v>4.1996164101812228E-2</v>
      </c>
      <c r="H2" s="21">
        <f>AVERAGE(H5:H234)</f>
        <v>2.1350459538838101E-2</v>
      </c>
      <c r="I2" s="21">
        <f>AVERAGE(I5:I234)</f>
        <v>-2.3414686010675576E-2</v>
      </c>
    </row>
    <row r="4" spans="1:12">
      <c r="A4" s="2" t="s">
        <v>3500</v>
      </c>
      <c r="B4" s="7"/>
      <c r="C4" s="44" t="s">
        <v>3483</v>
      </c>
      <c r="D4" s="8"/>
      <c r="E4" s="8"/>
      <c r="F4" s="43"/>
      <c r="G4" s="23" t="s">
        <v>3983</v>
      </c>
      <c r="H4" s="43">
        <f>AVERAGE(F5:F7)</f>
        <v>0.4561403508771929</v>
      </c>
      <c r="I4" s="43"/>
      <c r="J4" s="8"/>
      <c r="K4" s="8"/>
      <c r="L4" s="43"/>
    </row>
    <row r="5" spans="1:12">
      <c r="A5" s="1" t="s">
        <v>3502</v>
      </c>
      <c r="B5" s="7">
        <v>58.52</v>
      </c>
      <c r="C5" s="7">
        <v>48.35</v>
      </c>
      <c r="D5" s="16">
        <f>(C5-B5)/B5</f>
        <v>-0.17378673957621327</v>
      </c>
      <c r="E5" s="9">
        <v>35.340000000000003</v>
      </c>
      <c r="F5" s="16">
        <f>(C5-E5)/E5</f>
        <v>0.36813808715336721</v>
      </c>
      <c r="G5" s="40"/>
      <c r="H5" s="16"/>
      <c r="I5" s="16"/>
      <c r="L5" s="16"/>
    </row>
    <row r="6" spans="1:12">
      <c r="A6" s="1" t="s">
        <v>3503</v>
      </c>
      <c r="B6" s="7">
        <v>62.95</v>
      </c>
      <c r="C6" s="7">
        <v>51.46</v>
      </c>
      <c r="D6" s="16">
        <f>(C6-B6)/B6</f>
        <v>-0.18252581413820496</v>
      </c>
      <c r="E6" s="9">
        <v>35.340000000000003</v>
      </c>
      <c r="F6" s="16">
        <f>(C6-E6)/E6</f>
        <v>0.45614035087719285</v>
      </c>
      <c r="G6" s="40"/>
      <c r="H6" s="16"/>
      <c r="I6" s="16"/>
      <c r="L6" s="16"/>
    </row>
    <row r="7" spans="1:12">
      <c r="A7" s="1" t="s">
        <v>3504</v>
      </c>
      <c r="B7" s="7">
        <v>67.37</v>
      </c>
      <c r="C7" s="7">
        <v>54.57</v>
      </c>
      <c r="D7" s="16">
        <f>(C7-B7)/B7</f>
        <v>-0.18999554697936771</v>
      </c>
      <c r="E7" s="9">
        <v>35.340000000000003</v>
      </c>
      <c r="F7" s="16">
        <f>(C7-E7)/E7</f>
        <v>0.54414261460101854</v>
      </c>
      <c r="G7" s="40"/>
      <c r="H7" s="16"/>
      <c r="I7" s="16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L8" s="16"/>
    </row>
    <row r="9" spans="1:12">
      <c r="A9" s="2" t="s">
        <v>3505</v>
      </c>
      <c r="B9" s="7"/>
      <c r="C9" s="44" t="s">
        <v>3483</v>
      </c>
      <c r="D9" s="43"/>
      <c r="E9" s="44"/>
      <c r="F9" s="43"/>
      <c r="G9" s="23" t="s">
        <v>3984</v>
      </c>
      <c r="H9" s="43"/>
      <c r="I9" s="43">
        <f>AVERAGE(F10)</f>
        <v>0</v>
      </c>
      <c r="J9" s="8"/>
      <c r="K9" s="8"/>
      <c r="L9" s="43"/>
    </row>
    <row r="10" spans="1:12">
      <c r="A10" s="1" t="s">
        <v>3903</v>
      </c>
      <c r="B10" s="7">
        <v>28.38</v>
      </c>
      <c r="C10" s="7">
        <v>28.01</v>
      </c>
      <c r="D10" s="16">
        <f>(C10-B10)/B10</f>
        <v>-1.3037350246652483E-2</v>
      </c>
      <c r="E10" s="9">
        <v>28.01</v>
      </c>
      <c r="F10" s="16">
        <f>(C10-E10)/E10</f>
        <v>0</v>
      </c>
      <c r="G10" s="40"/>
      <c r="H10" s="16"/>
      <c r="I10" s="16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L11" s="16"/>
    </row>
    <row r="12" spans="1:12">
      <c r="A12" s="2" t="s">
        <v>3507</v>
      </c>
      <c r="B12" s="11" t="s">
        <v>3534</v>
      </c>
      <c r="C12" s="44" t="s">
        <v>3981</v>
      </c>
      <c r="D12" s="43"/>
      <c r="E12" s="44"/>
      <c r="F12" s="43"/>
      <c r="G12" s="23" t="s">
        <v>3983</v>
      </c>
      <c r="H12" s="43">
        <f>AVERAGE(F13)</f>
        <v>1.8693032596941044E-2</v>
      </c>
      <c r="I12" s="43"/>
      <c r="J12" s="8"/>
      <c r="K12" s="8"/>
      <c r="L12" s="43"/>
    </row>
    <row r="13" spans="1:12">
      <c r="A13" s="1" t="s">
        <v>3508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L13" s="16"/>
    </row>
    <row r="14" spans="1:12">
      <c r="A14" s="1"/>
      <c r="B14" s="7"/>
      <c r="C14" s="7"/>
      <c r="D14" s="16"/>
      <c r="E14" s="9"/>
      <c r="F14" s="16"/>
      <c r="G14" s="40"/>
      <c r="H14" s="16"/>
      <c r="I14" s="16"/>
      <c r="L14" s="16"/>
    </row>
    <row r="15" spans="1:12" ht="38.25">
      <c r="A15" s="2" t="s">
        <v>3509</v>
      </c>
      <c r="B15" s="12" t="s">
        <v>3510</v>
      </c>
      <c r="C15" s="44" t="s">
        <v>3480</v>
      </c>
      <c r="D15" s="43"/>
      <c r="E15" s="44"/>
      <c r="F15" s="43"/>
      <c r="G15" s="23" t="s">
        <v>3983</v>
      </c>
      <c r="H15" s="43">
        <f>AVERAGE(F16:F18)</f>
        <v>8.2090341690468568E-2</v>
      </c>
      <c r="I15" s="43"/>
      <c r="J15" s="8"/>
      <c r="K15" s="8"/>
      <c r="L15" s="43"/>
    </row>
    <row r="16" spans="1:12">
      <c r="A16" s="1" t="s">
        <v>3511</v>
      </c>
      <c r="B16" s="7">
        <v>32.68</v>
      </c>
      <c r="C16" s="7">
        <v>32.68</v>
      </c>
      <c r="D16" s="16">
        <f>(C16-B16)/B16</f>
        <v>0</v>
      </c>
      <c r="E16" s="9">
        <v>31.51</v>
      </c>
      <c r="F16" s="16">
        <f>(C16-E16)/E16</f>
        <v>3.7131069501745419E-2</v>
      </c>
      <c r="G16" s="40"/>
      <c r="H16" s="16"/>
      <c r="I16" s="16"/>
      <c r="L16" s="16"/>
    </row>
    <row r="17" spans="1:12">
      <c r="A17" s="1" t="s">
        <v>3512</v>
      </c>
      <c r="B17" s="7">
        <v>33.93</v>
      </c>
      <c r="C17" s="7">
        <v>33.93</v>
      </c>
      <c r="D17" s="16">
        <f>(C17-B17)/B17</f>
        <v>0</v>
      </c>
      <c r="E17" s="9">
        <v>31.51</v>
      </c>
      <c r="F17" s="16">
        <f>(C17-E17)/E17</f>
        <v>7.6801015550618787E-2</v>
      </c>
      <c r="G17" s="40"/>
      <c r="H17" s="16"/>
      <c r="I17" s="16"/>
      <c r="L17" s="16"/>
    </row>
    <row r="18" spans="1:12">
      <c r="A18" s="1" t="s">
        <v>3513</v>
      </c>
      <c r="B18" s="7">
        <v>35.68</v>
      </c>
      <c r="C18" s="7">
        <v>35.68</v>
      </c>
      <c r="D18" s="16">
        <f>(C18-B18)/B18</f>
        <v>0</v>
      </c>
      <c r="E18" s="9">
        <v>31.51</v>
      </c>
      <c r="F18" s="16">
        <f>(C18-E18)/E18</f>
        <v>0.13233894001904151</v>
      </c>
      <c r="G18" s="40"/>
      <c r="H18" s="16"/>
      <c r="I18" s="16"/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8"/>
      <c r="F20" s="43"/>
      <c r="G20" s="23" t="s">
        <v>3983</v>
      </c>
      <c r="H20" s="43">
        <f>AVERAGE(F21:F22)</f>
        <v>4.0803108808290044E-2</v>
      </c>
      <c r="I20" s="43"/>
      <c r="J20" s="8"/>
      <c r="K20" s="8"/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38.6</v>
      </c>
      <c r="F21" s="16">
        <f>(C21-E21)/E21</f>
        <v>5.1813471502589565E-3</v>
      </c>
      <c r="G21" s="40"/>
      <c r="H21" s="16"/>
      <c r="I21" s="16"/>
      <c r="L21" s="16"/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38.6</v>
      </c>
      <c r="F22" s="16">
        <f>(C22-E22)/E22</f>
        <v>7.6424870466321126E-2</v>
      </c>
      <c r="G22" s="40"/>
      <c r="H22" s="16"/>
      <c r="I22" s="16"/>
      <c r="L22" s="16"/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L23" s="16"/>
    </row>
    <row r="24" spans="1:12">
      <c r="A24" s="2" t="s">
        <v>3517</v>
      </c>
      <c r="B24" s="7"/>
      <c r="C24" s="31" t="s">
        <v>3483</v>
      </c>
      <c r="D24" s="43"/>
      <c r="E24" s="44"/>
      <c r="F24" s="43"/>
      <c r="G24" s="23" t="s">
        <v>3983</v>
      </c>
      <c r="H24" s="43">
        <f>AVERAGE(F25:F26)</f>
        <v>2.9369002617039779E-2</v>
      </c>
      <c r="I24" s="43"/>
      <c r="J24" s="8"/>
      <c r="K24" s="8"/>
      <c r="L24" s="43"/>
    </row>
    <row r="25" spans="1:12">
      <c r="A25" s="1" t="s">
        <v>3521</v>
      </c>
      <c r="B25" s="7">
        <v>34.4</v>
      </c>
      <c r="C25" s="7">
        <v>34.4</v>
      </c>
      <c r="D25" s="16">
        <f>(C25-B25)/B25</f>
        <v>0</v>
      </c>
      <c r="E25" s="9">
        <v>34.39</v>
      </c>
      <c r="F25" s="16">
        <f>(C25-E25)/E25</f>
        <v>2.9078220412904945E-4</v>
      </c>
      <c r="G25" s="40"/>
      <c r="H25" s="16"/>
      <c r="I25" s="16"/>
      <c r="L25" s="16"/>
    </row>
    <row r="26" spans="1:12">
      <c r="A26" s="1" t="s">
        <v>3522</v>
      </c>
      <c r="B26" s="7">
        <v>36.4</v>
      </c>
      <c r="C26" s="7">
        <v>36.4</v>
      </c>
      <c r="D26" s="16">
        <f>(C26-B26)/B26</f>
        <v>0</v>
      </c>
      <c r="E26" s="9">
        <v>34.39</v>
      </c>
      <c r="F26" s="16">
        <f>(C26-E26)/E26</f>
        <v>5.8447223029950507E-2</v>
      </c>
      <c r="G26" s="40"/>
      <c r="H26" s="16"/>
      <c r="I26" s="16"/>
      <c r="L26" s="16"/>
    </row>
    <row r="27" spans="1:12">
      <c r="A27" s="143"/>
      <c r="B27" s="143"/>
      <c r="C27" s="7"/>
      <c r="D27" s="16"/>
      <c r="E27" s="9"/>
      <c r="F27" s="16"/>
      <c r="G27" s="40"/>
      <c r="H27" s="16"/>
      <c r="I27" s="16"/>
      <c r="L27" s="16"/>
    </row>
    <row r="28" spans="1:12" ht="25.5">
      <c r="A28" s="2" t="s">
        <v>3676</v>
      </c>
      <c r="B28" s="7"/>
      <c r="C28" s="31"/>
      <c r="D28" s="43"/>
      <c r="E28" s="44"/>
      <c r="F28" s="43"/>
      <c r="G28" s="23" t="s">
        <v>3984</v>
      </c>
      <c r="H28" s="43"/>
      <c r="I28" s="43">
        <f>AVERAGE(F29:F31)</f>
        <v>-7.9937304075235083E-2</v>
      </c>
      <c r="J28" s="8"/>
      <c r="K28" s="8"/>
      <c r="L28" s="43"/>
    </row>
    <row r="29" spans="1:12">
      <c r="A29" s="1" t="s">
        <v>3952</v>
      </c>
      <c r="B29" s="7">
        <v>27.97</v>
      </c>
      <c r="C29" s="7">
        <v>23.48</v>
      </c>
      <c r="D29" s="16">
        <f>(C29-B29)/B29</f>
        <v>-0.16052913836253124</v>
      </c>
      <c r="E29" s="9">
        <v>25.52</v>
      </c>
      <c r="F29" s="16">
        <f>(C29-E29)/E29</f>
        <v>-7.9937304075235083E-2</v>
      </c>
      <c r="G29" s="40"/>
      <c r="H29" s="16"/>
      <c r="I29" s="16"/>
      <c r="L29" s="16"/>
    </row>
    <row r="30" spans="1:12" ht="25.5">
      <c r="A30" s="1" t="s">
        <v>3929</v>
      </c>
      <c r="B30" s="7">
        <v>30.88</v>
      </c>
      <c r="C30" s="7">
        <v>23.48</v>
      </c>
      <c r="D30" s="16">
        <f>(C30-B30)/B30</f>
        <v>-0.23963730569948183</v>
      </c>
      <c r="E30" s="9">
        <v>25.52</v>
      </c>
      <c r="F30" s="16">
        <f>(C30-E30)/E30</f>
        <v>-7.9937304075235083E-2</v>
      </c>
      <c r="G30" s="40"/>
      <c r="H30" s="16"/>
      <c r="I30" s="16"/>
      <c r="L30" s="16"/>
    </row>
    <row r="31" spans="1:12" ht="25.5">
      <c r="A31" s="1" t="s">
        <v>3953</v>
      </c>
      <c r="B31" s="7">
        <v>33.130000000000003</v>
      </c>
      <c r="C31" s="7">
        <v>23.48</v>
      </c>
      <c r="D31" s="16">
        <f>(C31-B31)/B31</f>
        <v>-0.29127678840929677</v>
      </c>
      <c r="E31" s="9">
        <v>25.52</v>
      </c>
      <c r="F31" s="16">
        <f>(C31-E31)/E31</f>
        <v>-7.9937304075235083E-2</v>
      </c>
      <c r="G31" s="40"/>
      <c r="H31" s="16"/>
      <c r="I31" s="16"/>
      <c r="L31" s="16"/>
    </row>
    <row r="32" spans="1:12">
      <c r="A32" s="1"/>
      <c r="B32" s="7"/>
      <c r="C32" s="7"/>
      <c r="D32" s="16"/>
      <c r="E32" s="9"/>
      <c r="F32" s="16"/>
      <c r="G32" s="40"/>
      <c r="H32" s="16"/>
      <c r="I32" s="16"/>
      <c r="L32" s="16"/>
    </row>
    <row r="33" spans="1:12" ht="25.5" customHeight="1">
      <c r="A33" s="144" t="s">
        <v>3763</v>
      </c>
      <c r="B33" s="144"/>
      <c r="C33" s="44" t="s">
        <v>3483</v>
      </c>
      <c r="D33" s="43"/>
      <c r="E33" s="44"/>
      <c r="F33" s="43"/>
      <c r="G33" s="23" t="s">
        <v>3983</v>
      </c>
      <c r="H33" s="43">
        <f>AVERAGE(F34:F38)</f>
        <v>-2.2260273972602725E-2</v>
      </c>
      <c r="I33" s="43"/>
      <c r="J33" s="8"/>
      <c r="K33" s="8"/>
      <c r="L33" s="43"/>
    </row>
    <row r="34" spans="1:12">
      <c r="A34" s="1" t="s">
        <v>3528</v>
      </c>
      <c r="B34" s="7">
        <v>39.19</v>
      </c>
      <c r="C34" s="7">
        <v>40.5</v>
      </c>
      <c r="D34" s="16">
        <f>(C34-B34)/B34</f>
        <v>3.3426894615973521E-2</v>
      </c>
      <c r="E34" s="9">
        <v>58.4</v>
      </c>
      <c r="F34" s="16">
        <f>(C34-E34)/E34</f>
        <v>-0.3065068493150685</v>
      </c>
      <c r="G34" s="40"/>
      <c r="H34" s="16"/>
      <c r="I34" s="16"/>
      <c r="L34" s="16"/>
    </row>
    <row r="35" spans="1:12">
      <c r="A35" s="1" t="s">
        <v>3529</v>
      </c>
      <c r="B35" s="7">
        <v>57.91</v>
      </c>
      <c r="C35" s="7">
        <v>59.9</v>
      </c>
      <c r="D35" s="16">
        <f>(C35-B35)/B35</f>
        <v>3.4363667760317768E-2</v>
      </c>
      <c r="E35" s="9">
        <v>58.4</v>
      </c>
      <c r="F35" s="16">
        <f>(C35-E35)/E35</f>
        <v>2.5684931506849317E-2</v>
      </c>
      <c r="G35" s="40"/>
      <c r="H35" s="16"/>
      <c r="I35" s="16"/>
      <c r="L35" s="16"/>
    </row>
    <row r="36" spans="1:12">
      <c r="A36" s="1" t="s">
        <v>3530</v>
      </c>
      <c r="B36" s="7">
        <v>63.02</v>
      </c>
      <c r="C36" s="7">
        <v>65.16</v>
      </c>
      <c r="D36" s="16">
        <f>(C36-B36)/B36</f>
        <v>3.3957473817835503E-2</v>
      </c>
      <c r="E36" s="9">
        <v>58.4</v>
      </c>
      <c r="F36" s="16">
        <f>(C36-E36)/E36</f>
        <v>0.11575342465753422</v>
      </c>
      <c r="G36" s="40"/>
      <c r="H36" s="16"/>
      <c r="I36" s="16"/>
      <c r="L36" s="16"/>
    </row>
    <row r="37" spans="1:12">
      <c r="A37" s="1" t="s">
        <v>3531</v>
      </c>
      <c r="B37" s="7">
        <v>68.12</v>
      </c>
      <c r="C37" s="7">
        <v>70.45</v>
      </c>
      <c r="D37" s="16">
        <f>(C37-B37)/B37</f>
        <v>3.4204345273047533E-2</v>
      </c>
      <c r="E37" s="9">
        <v>58.4</v>
      </c>
      <c r="F37" s="16">
        <f>(C37-E37)/E37</f>
        <v>0.20633561643835624</v>
      </c>
      <c r="G37" s="40"/>
      <c r="H37" s="16"/>
      <c r="I37" s="16"/>
      <c r="L37" s="16"/>
    </row>
    <row r="38" spans="1:12">
      <c r="A38" s="1" t="s">
        <v>3532</v>
      </c>
      <c r="B38" s="7">
        <v>47.86</v>
      </c>
      <c r="C38" s="7">
        <v>49.49</v>
      </c>
      <c r="D38" s="16">
        <f>(C38-B38)/B38</f>
        <v>3.4057668198913552E-2</v>
      </c>
      <c r="E38" s="9">
        <v>58.4</v>
      </c>
      <c r="F38" s="16">
        <f>(C38-E38)/E38</f>
        <v>-0.15256849315068488</v>
      </c>
      <c r="G38" s="40"/>
      <c r="H38" s="16"/>
      <c r="I38" s="16"/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L39" s="16"/>
    </row>
    <row r="40" spans="1:12">
      <c r="A40" s="2" t="s">
        <v>3533</v>
      </c>
      <c r="B40" s="11" t="s">
        <v>3534</v>
      </c>
      <c r="C40" s="44" t="s">
        <v>3981</v>
      </c>
      <c r="D40" s="43"/>
      <c r="E40" s="44"/>
      <c r="F40" s="43"/>
      <c r="G40" s="23" t="s">
        <v>3983</v>
      </c>
      <c r="H40" s="43">
        <f>AVERAGE(F41)</f>
        <v>5.7445868316395301E-3</v>
      </c>
      <c r="I40" s="43"/>
      <c r="J40" s="8"/>
      <c r="K40" s="8"/>
      <c r="L40" s="43"/>
    </row>
    <row r="41" spans="1:12">
      <c r="A41" s="1" t="s">
        <v>3535</v>
      </c>
      <c r="B41" s="7">
        <v>44.31</v>
      </c>
      <c r="C41" s="7">
        <v>45.52</v>
      </c>
      <c r="D41" s="16">
        <f>(C41-B41)/B41</f>
        <v>2.7307605506657655E-2</v>
      </c>
      <c r="E41" s="9">
        <v>45.26</v>
      </c>
      <c r="F41" s="16">
        <f>(C41-E41)/E41</f>
        <v>5.7445868316395301E-3</v>
      </c>
      <c r="G41" s="40"/>
      <c r="H41" s="16"/>
      <c r="I41" s="16"/>
      <c r="L41" s="16"/>
    </row>
    <row r="42" spans="1:12">
      <c r="A42" s="1"/>
      <c r="B42" s="7"/>
      <c r="C42" s="7"/>
      <c r="D42" s="16"/>
      <c r="E42" s="9"/>
      <c r="F42" s="16"/>
      <c r="G42" s="40"/>
      <c r="H42" s="16"/>
      <c r="I42" s="16"/>
      <c r="L42" s="16"/>
    </row>
    <row r="43" spans="1:12">
      <c r="A43" s="2" t="s">
        <v>3536</v>
      </c>
      <c r="B43" s="11" t="s">
        <v>3534</v>
      </c>
      <c r="C43" s="33" t="s">
        <v>3534</v>
      </c>
      <c r="D43" s="43"/>
      <c r="E43" s="44"/>
      <c r="F43" s="43"/>
      <c r="G43" s="23" t="s">
        <v>3983</v>
      </c>
      <c r="H43" s="43">
        <f>AVERAGE(F44:F47)</f>
        <v>0.10307194826192409</v>
      </c>
      <c r="I43" s="43"/>
      <c r="J43" s="8"/>
      <c r="K43" s="8"/>
      <c r="L43" s="43"/>
    </row>
    <row r="44" spans="1:12">
      <c r="A44" s="1" t="s">
        <v>3537</v>
      </c>
      <c r="B44" s="7">
        <v>47.69</v>
      </c>
      <c r="C44" s="7">
        <v>50.78</v>
      </c>
      <c r="D44" s="16">
        <f>(C44-B44)/B44</f>
        <v>6.4793457747955627E-2</v>
      </c>
      <c r="E44" s="9">
        <v>49.48</v>
      </c>
      <c r="F44" s="16">
        <f>(C44-E44)/E44</f>
        <v>2.6273241713823853E-2</v>
      </c>
      <c r="G44" s="40"/>
      <c r="H44" s="16"/>
      <c r="I44" s="16"/>
      <c r="L44" s="16"/>
    </row>
    <row r="45" spans="1:12">
      <c r="A45" s="1" t="s">
        <v>3538</v>
      </c>
      <c r="B45" s="7">
        <v>51.18</v>
      </c>
      <c r="C45" s="7">
        <v>54.58</v>
      </c>
      <c r="D45" s="16">
        <f>(C45-B45)/B45</f>
        <v>6.6432200078155507E-2</v>
      </c>
      <c r="E45" s="9">
        <v>49.48</v>
      </c>
      <c r="F45" s="16">
        <f>(C45-E45)/E45</f>
        <v>0.10307194826192405</v>
      </c>
      <c r="G45" s="40"/>
      <c r="H45" s="16"/>
      <c r="I45" s="16"/>
      <c r="L45" s="16"/>
    </row>
    <row r="46" spans="1:12">
      <c r="A46" s="1" t="s">
        <v>3539</v>
      </c>
      <c r="B46" s="7">
        <v>51.18</v>
      </c>
      <c r="C46" s="7">
        <v>54.58</v>
      </c>
      <c r="D46" s="16">
        <f>(C46-B46)/B46</f>
        <v>6.6432200078155507E-2</v>
      </c>
      <c r="E46" s="9">
        <v>49.48</v>
      </c>
      <c r="F46" s="16">
        <f>(C46-E46)/E46</f>
        <v>0.10307194826192405</v>
      </c>
      <c r="G46" s="40"/>
      <c r="H46" s="16"/>
      <c r="I46" s="16"/>
      <c r="L46" s="16"/>
    </row>
    <row r="47" spans="1:12">
      <c r="A47" s="1" t="s">
        <v>3540</v>
      </c>
      <c r="B47" s="7">
        <v>54.67</v>
      </c>
      <c r="C47" s="7">
        <v>58.38</v>
      </c>
      <c r="D47" s="16">
        <f>(C47-B47)/B47</f>
        <v>6.7861715749039708E-2</v>
      </c>
      <c r="E47" s="9">
        <v>49.48</v>
      </c>
      <c r="F47" s="16">
        <f>(C47-E47)/E47</f>
        <v>0.17987065481002437</v>
      </c>
      <c r="G47" s="40"/>
      <c r="H47" s="16"/>
      <c r="I47" s="16"/>
      <c r="L47" s="16"/>
    </row>
    <row r="48" spans="1:12">
      <c r="A48" s="1"/>
      <c r="B48" s="7"/>
      <c r="C48" s="7"/>
      <c r="D48" s="16"/>
      <c r="E48" s="9"/>
      <c r="F48" s="16"/>
      <c r="G48" s="40"/>
      <c r="H48" s="16"/>
      <c r="I48" s="16"/>
      <c r="L48" s="16"/>
    </row>
    <row r="49" spans="1:12">
      <c r="A49" s="2" t="s">
        <v>3541</v>
      </c>
      <c r="B49" s="11" t="s">
        <v>3534</v>
      </c>
      <c r="C49" s="44" t="s">
        <v>3483</v>
      </c>
      <c r="D49" s="43"/>
      <c r="E49" s="44"/>
      <c r="F49" s="43"/>
      <c r="G49" s="23" t="s">
        <v>3983</v>
      </c>
      <c r="H49" s="43">
        <f>AVERAGE(F50:F51)</f>
        <v>0.13484470327232381</v>
      </c>
      <c r="I49" s="43"/>
      <c r="J49" s="8"/>
      <c r="K49" s="8"/>
      <c r="L49" s="43"/>
    </row>
    <row r="50" spans="1:12" ht="25.5">
      <c r="A50" s="1" t="s">
        <v>3542</v>
      </c>
      <c r="B50" s="7">
        <v>46.01</v>
      </c>
      <c r="C50" s="7">
        <v>78.209999999999994</v>
      </c>
      <c r="D50" s="16">
        <f>(C50-B50)/B50</f>
        <v>0.69984785916105186</v>
      </c>
      <c r="E50" s="9">
        <v>72.12</v>
      </c>
      <c r="F50" s="16">
        <f>(C50-E50)/E50</f>
        <v>8.4442595673876714E-2</v>
      </c>
      <c r="G50" s="40"/>
      <c r="H50" s="16"/>
      <c r="I50" s="16"/>
      <c r="L50" s="16"/>
    </row>
    <row r="51" spans="1:12" ht="25.5">
      <c r="A51" s="1" t="s">
        <v>3769</v>
      </c>
      <c r="B51" s="7">
        <v>46.01</v>
      </c>
      <c r="C51" s="7">
        <v>85.48</v>
      </c>
      <c r="D51" s="16">
        <f>(C51-B51)/B51</f>
        <v>0.85785698761138895</v>
      </c>
      <c r="E51" s="9">
        <v>72.12</v>
      </c>
      <c r="F51" s="16">
        <f>(C51-E51)/E51</f>
        <v>0.18524681087077091</v>
      </c>
      <c r="G51" s="40"/>
      <c r="H51" s="16"/>
      <c r="I51" s="16"/>
      <c r="L51" s="16"/>
    </row>
    <row r="52" spans="1:12">
      <c r="A52" s="1"/>
      <c r="B52" s="7"/>
      <c r="C52" s="7"/>
      <c r="D52" s="16"/>
      <c r="E52" s="9"/>
      <c r="F52" s="16"/>
      <c r="G52" s="40"/>
      <c r="H52" s="16"/>
      <c r="I52" s="16"/>
      <c r="L52" s="16"/>
    </row>
    <row r="53" spans="1:12">
      <c r="A53" s="2" t="s">
        <v>3544</v>
      </c>
      <c r="B53" s="7"/>
      <c r="C53" s="44" t="s">
        <v>3483</v>
      </c>
      <c r="D53" s="43"/>
      <c r="E53" s="44"/>
      <c r="F53" s="43"/>
      <c r="G53" s="23" t="s">
        <v>3984</v>
      </c>
      <c r="H53" s="43"/>
      <c r="I53" s="43">
        <f>AVERAGE(F54)</f>
        <v>0</v>
      </c>
      <c r="J53" s="8"/>
      <c r="K53" s="8"/>
      <c r="L53" s="43"/>
    </row>
    <row r="54" spans="1:12">
      <c r="A54" s="1" t="s">
        <v>3545</v>
      </c>
      <c r="B54" s="7">
        <v>32.72</v>
      </c>
      <c r="C54" s="7">
        <v>43.19</v>
      </c>
      <c r="D54" s="16">
        <f>(C54-B54)/B54</f>
        <v>0.31998777506112469</v>
      </c>
      <c r="E54" s="9">
        <v>43.19</v>
      </c>
      <c r="F54" s="16">
        <f>(C54-E54)/E54</f>
        <v>0</v>
      </c>
      <c r="G54" s="40"/>
      <c r="H54" s="16"/>
      <c r="I54" s="16"/>
      <c r="L54" s="16"/>
    </row>
    <row r="55" spans="1:12">
      <c r="A55" s="1"/>
      <c r="B55" s="7"/>
      <c r="C55" s="7"/>
      <c r="D55" s="16"/>
      <c r="E55" s="9"/>
      <c r="F55" s="16"/>
      <c r="G55" s="40"/>
      <c r="H55" s="16"/>
      <c r="I55" s="16"/>
      <c r="L55" s="16"/>
    </row>
    <row r="56" spans="1:12" ht="51">
      <c r="A56" s="2" t="s">
        <v>3546</v>
      </c>
      <c r="B56" s="12" t="s">
        <v>3959</v>
      </c>
      <c r="C56" s="12" t="s">
        <v>3959</v>
      </c>
      <c r="D56" s="16"/>
      <c r="E56" s="9"/>
      <c r="F56" s="16"/>
      <c r="G56" s="40"/>
      <c r="H56" s="16"/>
      <c r="I56" s="16"/>
      <c r="L56" s="16"/>
    </row>
    <row r="57" spans="1:12">
      <c r="A57" s="1" t="s">
        <v>3548</v>
      </c>
      <c r="B57" s="7">
        <v>27.95</v>
      </c>
      <c r="C57" s="7">
        <v>27.95</v>
      </c>
      <c r="D57" s="16">
        <f>(C57-B57)/B57</f>
        <v>0</v>
      </c>
      <c r="E57" s="9"/>
      <c r="F57" s="16"/>
      <c r="G57" s="40"/>
      <c r="H57" s="16"/>
      <c r="I57" s="16"/>
      <c r="L57" s="16"/>
    </row>
    <row r="58" spans="1:12">
      <c r="A58" s="1"/>
      <c r="B58" s="7"/>
      <c r="C58" s="7"/>
      <c r="D58" s="16"/>
      <c r="E58" s="9"/>
      <c r="F58" s="16"/>
      <c r="G58" s="40"/>
      <c r="H58" s="16"/>
      <c r="I58" s="16"/>
      <c r="L58" s="16"/>
    </row>
    <row r="59" spans="1:12">
      <c r="A59" s="2" t="s">
        <v>3549</v>
      </c>
      <c r="B59" s="7"/>
      <c r="C59" s="44" t="s">
        <v>3483</v>
      </c>
      <c r="D59" s="43"/>
      <c r="E59" s="44"/>
      <c r="F59" s="43"/>
      <c r="G59" s="23" t="s">
        <v>3983</v>
      </c>
      <c r="H59" s="43">
        <f>AVERAGE(F60:F61)</f>
        <v>3.6491324703938281E-2</v>
      </c>
      <c r="I59" s="43"/>
      <c r="J59" s="8"/>
      <c r="K59" s="8"/>
      <c r="L59" s="43"/>
    </row>
    <row r="60" spans="1:12">
      <c r="A60" s="1" t="s">
        <v>3550</v>
      </c>
      <c r="B60" s="7">
        <v>36.26</v>
      </c>
      <c r="C60" s="7">
        <v>36.340000000000003</v>
      </c>
      <c r="D60" s="16">
        <f>(C60-B60)/B60</f>
        <v>2.2062879205737838E-3</v>
      </c>
      <c r="E60" s="9">
        <v>36.31</v>
      </c>
      <c r="F60" s="16">
        <f>(C60-E60)/E60</f>
        <v>8.2621867254203073E-4</v>
      </c>
      <c r="G60" s="40"/>
      <c r="H60" s="16"/>
      <c r="I60" s="16"/>
      <c r="L60" s="16"/>
    </row>
    <row r="61" spans="1:12">
      <c r="A61" s="1" t="s">
        <v>3551</v>
      </c>
      <c r="B61" s="7">
        <v>38.9</v>
      </c>
      <c r="C61" s="7">
        <v>38.93</v>
      </c>
      <c r="D61" s="16">
        <f>(C61-B61)/B61</f>
        <v>7.7120822622110891E-4</v>
      </c>
      <c r="E61" s="9">
        <v>36.31</v>
      </c>
      <c r="F61" s="16">
        <f>(C61-E61)/E61</f>
        <v>7.2156430735334537E-2</v>
      </c>
      <c r="G61" s="40"/>
      <c r="H61" s="16"/>
      <c r="I61" s="16"/>
      <c r="L61" s="16"/>
    </row>
    <row r="62" spans="1:12">
      <c r="A62" s="1"/>
      <c r="B62" s="7"/>
      <c r="C62" s="7"/>
      <c r="D62" s="16"/>
      <c r="E62" s="9"/>
      <c r="F62" s="16"/>
      <c r="G62" s="40"/>
      <c r="H62" s="16"/>
      <c r="I62" s="16"/>
      <c r="L62" s="16"/>
    </row>
    <row r="63" spans="1:12">
      <c r="A63" s="2" t="s">
        <v>3552</v>
      </c>
      <c r="B63" s="11" t="s">
        <v>3534</v>
      </c>
      <c r="C63" s="44" t="s">
        <v>3483</v>
      </c>
      <c r="D63" s="43"/>
      <c r="E63" s="44"/>
      <c r="F63" s="43"/>
      <c r="G63" s="23" t="s">
        <v>3984</v>
      </c>
      <c r="H63" s="43"/>
      <c r="I63" s="43">
        <f>AVERAGE(F64)</f>
        <v>-2.8896257697773542E-2</v>
      </c>
      <c r="J63" s="8"/>
      <c r="K63" s="8"/>
      <c r="L63" s="43"/>
    </row>
    <row r="64" spans="1:12">
      <c r="A64" s="1" t="s">
        <v>3553</v>
      </c>
      <c r="B64" s="7">
        <v>21.5</v>
      </c>
      <c r="C64" s="7">
        <v>20.5</v>
      </c>
      <c r="D64" s="16">
        <f>(C64-B64)/B64</f>
        <v>-4.6511627906976744E-2</v>
      </c>
      <c r="E64" s="9">
        <v>21.11</v>
      </c>
      <c r="F64" s="16">
        <f>(C64-E64)/E64</f>
        <v>-2.8896257697773542E-2</v>
      </c>
      <c r="G64" s="40"/>
      <c r="H64" s="16"/>
      <c r="I64" s="16"/>
      <c r="L64" s="16"/>
    </row>
    <row r="65" spans="1:12">
      <c r="A65" s="1"/>
      <c r="B65" s="7"/>
      <c r="C65" s="7"/>
      <c r="D65" s="16"/>
      <c r="E65" s="9"/>
      <c r="F65" s="16"/>
      <c r="G65" s="40"/>
      <c r="H65" s="16"/>
      <c r="I65" s="16"/>
      <c r="L65" s="16"/>
    </row>
    <row r="66" spans="1:12" ht="51">
      <c r="A66" s="2" t="s">
        <v>3554</v>
      </c>
      <c r="B66" s="12" t="s">
        <v>3959</v>
      </c>
      <c r="C66" s="12" t="s">
        <v>3959</v>
      </c>
      <c r="D66" s="43"/>
      <c r="E66" s="44"/>
      <c r="F66" s="43"/>
      <c r="G66" s="23" t="s">
        <v>3983</v>
      </c>
      <c r="H66" s="43">
        <f>AVERAGE(F67)</f>
        <v>0</v>
      </c>
      <c r="I66" s="43"/>
      <c r="J66" s="8"/>
      <c r="K66" s="8"/>
      <c r="L66" s="43"/>
    </row>
    <row r="67" spans="1:12">
      <c r="A67" s="1" t="s">
        <v>3555</v>
      </c>
      <c r="B67" s="7">
        <v>33.57</v>
      </c>
      <c r="C67" s="7">
        <v>33.57</v>
      </c>
      <c r="D67" s="16">
        <f>(C67-B67)/B67</f>
        <v>0</v>
      </c>
      <c r="E67" s="9">
        <v>33.57</v>
      </c>
      <c r="F67" s="16">
        <f>(C67-E67)/E67</f>
        <v>0</v>
      </c>
      <c r="G67" s="40"/>
      <c r="H67" s="16"/>
      <c r="I67" s="16"/>
      <c r="L67" s="16"/>
    </row>
    <row r="68" spans="1:12">
      <c r="A68" s="143"/>
      <c r="B68" s="143"/>
      <c r="C68" s="7"/>
      <c r="D68" s="16"/>
      <c r="E68" s="9"/>
      <c r="F68" s="16"/>
      <c r="G68" s="40"/>
      <c r="H68" s="16"/>
      <c r="I68" s="16"/>
      <c r="L68" s="16"/>
    </row>
    <row r="69" spans="1:12" ht="38.25">
      <c r="A69" s="2" t="s">
        <v>3556</v>
      </c>
      <c r="B69" s="12" t="s">
        <v>3510</v>
      </c>
      <c r="C69" s="44" t="s">
        <v>4006</v>
      </c>
      <c r="D69" s="43"/>
      <c r="E69" s="44"/>
      <c r="F69" s="43"/>
      <c r="G69" s="23" t="s">
        <v>3983</v>
      </c>
      <c r="H69" s="43">
        <f>AVERAGE(F70:F71)</f>
        <v>-9.5918975275543605E-2</v>
      </c>
      <c r="I69" s="43"/>
      <c r="J69" s="8"/>
      <c r="K69" s="8"/>
      <c r="L69" s="43"/>
    </row>
    <row r="70" spans="1:12">
      <c r="A70" s="1" t="s">
        <v>3557</v>
      </c>
      <c r="B70" s="7">
        <v>30.1</v>
      </c>
      <c r="C70" s="7">
        <v>30.1</v>
      </c>
      <c r="D70" s="16">
        <f>(C70-B70)/B70</f>
        <v>0</v>
      </c>
      <c r="E70" s="9">
        <v>33.57</v>
      </c>
      <c r="F70" s="16">
        <f>(C70-E70)/E70</f>
        <v>-0.10336610068513551</v>
      </c>
      <c r="G70" s="40"/>
      <c r="H70" s="16"/>
      <c r="I70" s="16"/>
      <c r="L70" s="16"/>
    </row>
    <row r="71" spans="1:12">
      <c r="A71" s="1" t="s">
        <v>3683</v>
      </c>
      <c r="B71" s="7">
        <v>30.6</v>
      </c>
      <c r="C71" s="7">
        <v>30.6</v>
      </c>
      <c r="D71" s="16">
        <f>(C71-B71)/B71</f>
        <v>0</v>
      </c>
      <c r="E71" s="9">
        <v>33.57</v>
      </c>
      <c r="F71" s="16">
        <f>(C71-E71)/E71</f>
        <v>-8.8471849865951704E-2</v>
      </c>
      <c r="G71" s="40"/>
      <c r="H71" s="16"/>
      <c r="I71" s="16"/>
      <c r="L71" s="16"/>
    </row>
    <row r="72" spans="1:12">
      <c r="A72" s="143"/>
      <c r="B72" s="143"/>
      <c r="C72" s="7"/>
      <c r="D72" s="16"/>
      <c r="E72" s="9"/>
      <c r="F72" s="16"/>
      <c r="G72" s="40"/>
      <c r="H72" s="16"/>
      <c r="I72" s="16"/>
      <c r="L72" s="16"/>
    </row>
    <row r="73" spans="1:12" ht="38.25">
      <c r="A73" s="2" t="s">
        <v>3684</v>
      </c>
      <c r="B73" s="12" t="s">
        <v>3510</v>
      </c>
      <c r="C73" s="44" t="s">
        <v>3481</v>
      </c>
      <c r="D73" s="43"/>
      <c r="E73" s="44"/>
      <c r="F73" s="43"/>
      <c r="G73" s="23" t="s">
        <v>3983</v>
      </c>
      <c r="H73" s="43">
        <f>AVERAGE(F74:F76)</f>
        <v>3.8112164296998416E-2</v>
      </c>
      <c r="I73" s="43"/>
      <c r="J73" s="8"/>
      <c r="K73" s="8"/>
      <c r="L73" s="43"/>
    </row>
    <row r="74" spans="1:12">
      <c r="A74" s="1" t="s">
        <v>3560</v>
      </c>
      <c r="B74" s="7">
        <v>33.76</v>
      </c>
      <c r="C74" s="7">
        <v>34.26</v>
      </c>
      <c r="D74" s="16">
        <f>(C74-B74)/B74</f>
        <v>1.481042654028436E-2</v>
      </c>
      <c r="E74" s="9">
        <v>33.76</v>
      </c>
      <c r="F74" s="16">
        <f>(C74-E74)/E74</f>
        <v>1.481042654028436E-2</v>
      </c>
      <c r="G74" s="40"/>
      <c r="H74" s="16"/>
      <c r="I74" s="16"/>
      <c r="L74" s="16"/>
    </row>
    <row r="75" spans="1:12">
      <c r="A75" s="1" t="s">
        <v>3909</v>
      </c>
      <c r="B75" s="7">
        <v>34.76</v>
      </c>
      <c r="C75" s="7">
        <v>35.26</v>
      </c>
      <c r="D75" s="16">
        <f>(C75-B75)/B75</f>
        <v>1.4384349827387804E-2</v>
      </c>
      <c r="E75" s="9">
        <v>33.76</v>
      </c>
      <c r="F75" s="16">
        <f>(C75-E75)/E75</f>
        <v>4.4431279620853081E-2</v>
      </c>
      <c r="G75" s="40"/>
      <c r="H75" s="16"/>
      <c r="I75" s="16"/>
      <c r="L75" s="16"/>
    </row>
    <row r="76" spans="1:12">
      <c r="A76" s="1" t="s">
        <v>3562</v>
      </c>
      <c r="B76" s="7">
        <v>35.119999999999997</v>
      </c>
      <c r="C76" s="7">
        <v>35.619999999999997</v>
      </c>
      <c r="D76" s="16">
        <f>(C76-B76)/B76</f>
        <v>1.4236902050113897E-2</v>
      </c>
      <c r="E76" s="9">
        <v>33.76</v>
      </c>
      <c r="F76" s="16">
        <f>(C76-E76)/E76</f>
        <v>5.5094786729857806E-2</v>
      </c>
      <c r="G76" s="40"/>
      <c r="H76" s="16"/>
      <c r="I76" s="16"/>
      <c r="L76" s="16"/>
    </row>
    <row r="77" spans="1:12">
      <c r="A77" s="1"/>
      <c r="B77" s="7"/>
      <c r="C77" s="7"/>
      <c r="D77" s="16"/>
      <c r="E77" s="9"/>
      <c r="F77" s="16"/>
      <c r="G77" s="40"/>
      <c r="H77" s="16"/>
      <c r="I77" s="16"/>
      <c r="L77" s="16"/>
    </row>
    <row r="78" spans="1:12" ht="38.25">
      <c r="A78" s="2" t="s">
        <v>3563</v>
      </c>
      <c r="B78" s="12" t="s">
        <v>3564</v>
      </c>
      <c r="C78" s="31"/>
      <c r="D78" s="43"/>
      <c r="E78" s="44"/>
      <c r="F78" s="43"/>
      <c r="G78" s="23" t="s">
        <v>3983</v>
      </c>
      <c r="H78" s="43">
        <f>AVERAGE(F79:F81)</f>
        <v>-1.7452006980799321E-4</v>
      </c>
      <c r="I78" s="43"/>
      <c r="J78" s="8"/>
      <c r="K78" s="8"/>
      <c r="L78" s="43"/>
    </row>
    <row r="79" spans="1:12">
      <c r="A79" s="1" t="s">
        <v>3565</v>
      </c>
      <c r="B79" s="7">
        <v>54.38</v>
      </c>
      <c r="C79" s="7">
        <v>57.29</v>
      </c>
      <c r="D79" s="16">
        <f>(C79-B79)/B79</f>
        <v>5.3512320706141897E-2</v>
      </c>
      <c r="E79" s="9">
        <v>57.3</v>
      </c>
      <c r="F79" s="16">
        <f>(C79-E79)/E79</f>
        <v>-1.7452006980799321E-4</v>
      </c>
      <c r="G79" s="40"/>
      <c r="H79" s="16"/>
      <c r="I79" s="16"/>
      <c r="L79" s="16"/>
    </row>
    <row r="80" spans="1:12">
      <c r="A80" s="1" t="s">
        <v>3566</v>
      </c>
      <c r="B80" s="7">
        <v>57.68</v>
      </c>
      <c r="C80" s="7">
        <v>57.29</v>
      </c>
      <c r="D80" s="16">
        <f>(C80-B80)/B80</f>
        <v>-6.7614424410541015E-3</v>
      </c>
      <c r="E80" s="9">
        <v>57.3</v>
      </c>
      <c r="F80" s="16">
        <f>(C80-E80)/E80</f>
        <v>-1.7452006980799321E-4</v>
      </c>
      <c r="G80" s="40"/>
      <c r="H80" s="16"/>
      <c r="I80" s="16"/>
      <c r="L80" s="16"/>
    </row>
    <row r="81" spans="1:12">
      <c r="A81" s="1" t="s">
        <v>3567</v>
      </c>
      <c r="B81" s="7">
        <v>61.04</v>
      </c>
      <c r="C81" s="7">
        <v>57.29</v>
      </c>
      <c r="D81" s="16">
        <f>(C81-B81)/B81</f>
        <v>-6.1435124508519005E-2</v>
      </c>
      <c r="E81" s="9">
        <v>57.3</v>
      </c>
      <c r="F81" s="16">
        <f>(C81-E81)/E81</f>
        <v>-1.7452006980799321E-4</v>
      </c>
      <c r="G81" s="40"/>
      <c r="H81" s="16"/>
      <c r="I81" s="16"/>
      <c r="L81" s="16"/>
    </row>
    <row r="82" spans="1:12">
      <c r="A82" s="143"/>
      <c r="B82" s="143"/>
      <c r="C82" s="7"/>
      <c r="D82" s="16"/>
      <c r="E82" s="9"/>
      <c r="F82" s="16"/>
      <c r="G82" s="40"/>
      <c r="H82" s="16"/>
      <c r="I82" s="16"/>
      <c r="L82" s="16"/>
    </row>
    <row r="83" spans="1:12" ht="38.25">
      <c r="A83" s="2" t="s">
        <v>3686</v>
      </c>
      <c r="B83" s="12" t="s">
        <v>3510</v>
      </c>
      <c r="C83" s="12" t="s">
        <v>3510</v>
      </c>
      <c r="D83" s="43"/>
      <c r="E83" s="44"/>
      <c r="F83" s="43"/>
      <c r="G83" s="23" t="s">
        <v>3983</v>
      </c>
      <c r="H83" s="43">
        <f>AVERAGE(F85:F98)</f>
        <v>-3.6888943069608687E-2</v>
      </c>
      <c r="I83" s="43"/>
      <c r="J83" s="8"/>
      <c r="K83" s="8"/>
      <c r="L83" s="43"/>
    </row>
    <row r="84" spans="1:12">
      <c r="A84" s="3" t="s">
        <v>3569</v>
      </c>
      <c r="B84" s="7"/>
      <c r="C84" s="7"/>
      <c r="D84" s="16"/>
      <c r="E84" s="9"/>
      <c r="F84" s="16"/>
      <c r="G84" s="40"/>
      <c r="H84" s="16"/>
      <c r="I84" s="16"/>
      <c r="L84" s="16"/>
    </row>
    <row r="85" spans="1:12">
      <c r="A85" s="1" t="s">
        <v>3571</v>
      </c>
      <c r="B85" s="7">
        <v>25.66</v>
      </c>
      <c r="C85" s="7">
        <v>25.66</v>
      </c>
      <c r="D85" s="16">
        <f t="shared" ref="D85:D93" si="0">(C85-B85)/B85</f>
        <v>0</v>
      </c>
      <c r="E85" s="9">
        <v>31.55</v>
      </c>
      <c r="F85" s="16">
        <f t="shared" ref="F85:F93" si="1">(C85-E85)/E85</f>
        <v>-0.18668779714738512</v>
      </c>
      <c r="G85" s="40"/>
      <c r="H85" s="16"/>
      <c r="I85" s="16"/>
      <c r="L85" s="16"/>
    </row>
    <row r="86" spans="1:12">
      <c r="A86" s="1" t="s">
        <v>3572</v>
      </c>
      <c r="B86" s="7">
        <v>27.16</v>
      </c>
      <c r="C86" s="7">
        <v>27.16</v>
      </c>
      <c r="D86" s="16">
        <f t="shared" si="0"/>
        <v>0</v>
      </c>
      <c r="E86" s="9">
        <v>31.55</v>
      </c>
      <c r="F86" s="16">
        <f t="shared" si="1"/>
        <v>-0.13914421553090334</v>
      </c>
      <c r="G86" s="40"/>
      <c r="H86" s="16"/>
      <c r="I86" s="16"/>
      <c r="L86" s="16"/>
    </row>
    <row r="87" spans="1:12">
      <c r="A87" s="1" t="s">
        <v>3573</v>
      </c>
      <c r="B87" s="7">
        <v>30.82</v>
      </c>
      <c r="C87" s="7">
        <v>30.82</v>
      </c>
      <c r="D87" s="16">
        <f t="shared" si="0"/>
        <v>0</v>
      </c>
      <c r="E87" s="9">
        <v>31.55</v>
      </c>
      <c r="F87" s="16">
        <f t="shared" si="1"/>
        <v>-2.3137876386687808E-2</v>
      </c>
      <c r="G87" s="40"/>
      <c r="H87" s="16"/>
      <c r="I87" s="16"/>
      <c r="L87" s="16"/>
    </row>
    <row r="88" spans="1:12">
      <c r="A88" s="1" t="s">
        <v>3574</v>
      </c>
      <c r="B88" s="7">
        <v>27.95</v>
      </c>
      <c r="C88" s="7">
        <v>27.95</v>
      </c>
      <c r="D88" s="16">
        <f t="shared" si="0"/>
        <v>0</v>
      </c>
      <c r="E88" s="9">
        <v>31.55</v>
      </c>
      <c r="F88" s="16">
        <f t="shared" si="1"/>
        <v>-0.11410459587955631</v>
      </c>
      <c r="G88" s="40"/>
      <c r="H88" s="16"/>
      <c r="I88" s="16"/>
      <c r="L88" s="16"/>
    </row>
    <row r="89" spans="1:12">
      <c r="A89" s="1" t="s">
        <v>3575</v>
      </c>
      <c r="B89" s="7">
        <v>30.92</v>
      </c>
      <c r="C89" s="7">
        <v>30.92</v>
      </c>
      <c r="D89" s="16">
        <f t="shared" si="0"/>
        <v>0</v>
      </c>
      <c r="E89" s="9">
        <v>31.55</v>
      </c>
      <c r="F89" s="16">
        <f t="shared" si="1"/>
        <v>-1.9968304278922315E-2</v>
      </c>
      <c r="G89" s="40"/>
      <c r="H89" s="16"/>
      <c r="I89" s="16"/>
      <c r="L89" s="16"/>
    </row>
    <row r="90" spans="1:12">
      <c r="A90" s="1" t="s">
        <v>3576</v>
      </c>
      <c r="B90" s="7">
        <v>31.07</v>
      </c>
      <c r="C90" s="7">
        <v>31.07</v>
      </c>
      <c r="D90" s="16">
        <f t="shared" si="0"/>
        <v>0</v>
      </c>
      <c r="E90" s="9">
        <v>31.55</v>
      </c>
      <c r="F90" s="16">
        <f t="shared" si="1"/>
        <v>-1.5213946117274181E-2</v>
      </c>
      <c r="G90" s="40"/>
      <c r="H90" s="16"/>
      <c r="I90" s="16"/>
      <c r="L90" s="16"/>
    </row>
    <row r="91" spans="1:12">
      <c r="A91" s="1" t="s">
        <v>3577</v>
      </c>
      <c r="B91" s="7">
        <v>31.32</v>
      </c>
      <c r="C91" s="7">
        <v>31.32</v>
      </c>
      <c r="D91" s="16">
        <f t="shared" si="0"/>
        <v>0</v>
      </c>
      <c r="E91" s="9">
        <v>31.55</v>
      </c>
      <c r="F91" s="16">
        <f t="shared" si="1"/>
        <v>-7.2900158478605521E-3</v>
      </c>
      <c r="G91" s="40"/>
      <c r="H91" s="16"/>
      <c r="I91" s="16"/>
      <c r="L91" s="16"/>
    </row>
    <row r="92" spans="1:12">
      <c r="A92" s="1" t="s">
        <v>3578</v>
      </c>
      <c r="B92" s="7">
        <v>32.57</v>
      </c>
      <c r="C92" s="7">
        <v>32.57</v>
      </c>
      <c r="D92" s="16">
        <f t="shared" si="0"/>
        <v>0</v>
      </c>
      <c r="E92" s="9">
        <v>31.55</v>
      </c>
      <c r="F92" s="16">
        <f t="shared" si="1"/>
        <v>3.2329635499207594E-2</v>
      </c>
      <c r="G92" s="40"/>
      <c r="H92" s="16"/>
      <c r="I92" s="16"/>
      <c r="L92" s="16"/>
    </row>
    <row r="93" spans="1:12">
      <c r="A93" s="1" t="s">
        <v>3579</v>
      </c>
      <c r="B93" s="7">
        <v>31.62</v>
      </c>
      <c r="C93" s="7">
        <v>31.62</v>
      </c>
      <c r="D93" s="16">
        <f t="shared" si="0"/>
        <v>0</v>
      </c>
      <c r="E93" s="9">
        <v>31.55</v>
      </c>
      <c r="F93" s="16">
        <f t="shared" si="1"/>
        <v>2.2187004754358249E-3</v>
      </c>
      <c r="G93" s="40"/>
      <c r="H93" s="16"/>
      <c r="I93" s="16"/>
      <c r="L93" s="16"/>
    </row>
    <row r="94" spans="1:12">
      <c r="A94" s="1" t="s">
        <v>3580</v>
      </c>
      <c r="B94" s="7"/>
      <c r="C94" s="7"/>
      <c r="D94" s="16"/>
      <c r="E94" s="9"/>
      <c r="F94" s="16"/>
      <c r="G94" s="40"/>
      <c r="H94" s="16"/>
      <c r="I94" s="16"/>
      <c r="L94" s="16"/>
    </row>
    <row r="95" spans="1:12">
      <c r="A95" s="1" t="s">
        <v>3581</v>
      </c>
      <c r="B95" s="7">
        <v>31.62</v>
      </c>
      <c r="C95" s="7">
        <v>31.62</v>
      </c>
      <c r="D95" s="16">
        <f>(C95-B95)/B95</f>
        <v>0</v>
      </c>
      <c r="E95" s="9">
        <v>31.55</v>
      </c>
      <c r="F95" s="16">
        <f>(C95-E95)/E95</f>
        <v>2.2187004754358249E-3</v>
      </c>
      <c r="G95" s="40"/>
      <c r="H95" s="16"/>
      <c r="I95" s="16"/>
      <c r="L95" s="16"/>
    </row>
    <row r="96" spans="1:12">
      <c r="A96" s="1" t="s">
        <v>3582</v>
      </c>
      <c r="B96" s="7">
        <v>31.32</v>
      </c>
      <c r="C96" s="7">
        <v>31.32</v>
      </c>
      <c r="D96" s="16">
        <f>(C96-B96)/B96</f>
        <v>0</v>
      </c>
      <c r="E96" s="9">
        <v>31.55</v>
      </c>
      <c r="F96" s="16">
        <f>(C96-E96)/E96</f>
        <v>-7.2900158478605521E-3</v>
      </c>
      <c r="G96" s="40"/>
      <c r="H96" s="16"/>
      <c r="I96" s="16"/>
      <c r="L96" s="16"/>
    </row>
    <row r="97" spans="1:12">
      <c r="A97" s="1" t="s">
        <v>3583</v>
      </c>
      <c r="B97" s="7">
        <v>30.97</v>
      </c>
      <c r="C97" s="7">
        <v>30.97</v>
      </c>
      <c r="D97" s="16">
        <f>(C97-B97)/B97</f>
        <v>0</v>
      </c>
      <c r="E97" s="9">
        <v>31.55</v>
      </c>
      <c r="F97" s="16">
        <f>(C97-E97)/E97</f>
        <v>-1.8383518225039679E-2</v>
      </c>
      <c r="G97" s="40"/>
      <c r="H97" s="16"/>
      <c r="I97" s="16"/>
      <c r="L97" s="16"/>
    </row>
    <row r="98" spans="1:12">
      <c r="A98" s="1" t="s">
        <v>3584</v>
      </c>
      <c r="B98" s="7">
        <v>32.020000000000003</v>
      </c>
      <c r="C98" s="7">
        <v>32.020000000000003</v>
      </c>
      <c r="D98" s="16">
        <f>(C98-B98)/B98</f>
        <v>0</v>
      </c>
      <c r="E98" s="9">
        <v>31.55</v>
      </c>
      <c r="F98" s="16">
        <f>(C98-E98)/E98</f>
        <v>1.48969889064977E-2</v>
      </c>
      <c r="G98" s="40"/>
      <c r="H98" s="16"/>
      <c r="I98" s="16"/>
      <c r="L98" s="16"/>
    </row>
    <row r="99" spans="1:12">
      <c r="A99" s="143"/>
      <c r="B99" s="143"/>
      <c r="C99" s="7"/>
      <c r="D99" s="16"/>
      <c r="E99" s="9"/>
      <c r="F99" s="16"/>
      <c r="G99" s="40"/>
      <c r="H99" s="16"/>
      <c r="I99" s="16"/>
      <c r="L99" s="16"/>
    </row>
    <row r="100" spans="1:12" ht="38.25">
      <c r="A100" s="2" t="s">
        <v>3585</v>
      </c>
      <c r="B100" s="12" t="s">
        <v>3689</v>
      </c>
      <c r="C100" s="31" t="s">
        <v>3997</v>
      </c>
      <c r="D100" s="43"/>
      <c r="E100" s="44"/>
      <c r="F100" s="43"/>
      <c r="G100" s="23" t="s">
        <v>3983</v>
      </c>
      <c r="H100" s="43">
        <f>AVERAGE(F101:F103)</f>
        <v>-7.6331395690213549E-4</v>
      </c>
      <c r="I100" s="43"/>
      <c r="J100" s="8"/>
      <c r="K100" s="8"/>
      <c r="L100" s="43"/>
    </row>
    <row r="101" spans="1:12">
      <c r="A101" s="1" t="s">
        <v>3587</v>
      </c>
      <c r="B101" s="7">
        <v>57.06</v>
      </c>
      <c r="C101" s="7">
        <v>54.56</v>
      </c>
      <c r="D101" s="16">
        <f>(C101-B101)/B101</f>
        <v>-4.3813529617946018E-2</v>
      </c>
      <c r="E101" s="9">
        <v>56.77</v>
      </c>
      <c r="F101" s="16">
        <f>(C101-E101)/E101</f>
        <v>-3.8929011802008119E-2</v>
      </c>
      <c r="G101" s="40"/>
      <c r="H101" s="16"/>
      <c r="I101" s="16"/>
      <c r="L101" s="16"/>
    </row>
    <row r="102" spans="1:12">
      <c r="A102" s="1" t="s">
        <v>3588</v>
      </c>
      <c r="B102" s="7">
        <v>59.56</v>
      </c>
      <c r="C102" s="7">
        <v>57.06</v>
      </c>
      <c r="D102" s="16">
        <f>(C102-B102)/B102</f>
        <v>-4.1974479516453993E-2</v>
      </c>
      <c r="E102" s="9">
        <v>56.77</v>
      </c>
      <c r="F102" s="16">
        <f>(C102-E102)/E102</f>
        <v>5.1083318654218625E-3</v>
      </c>
      <c r="G102" s="40"/>
      <c r="H102" s="16"/>
      <c r="I102" s="16"/>
      <c r="L102" s="16"/>
    </row>
    <row r="103" spans="1:12" ht="25.5">
      <c r="A103" s="1" t="s">
        <v>3589</v>
      </c>
      <c r="B103" s="7">
        <v>61.06</v>
      </c>
      <c r="C103" s="7">
        <v>58.56</v>
      </c>
      <c r="D103" s="16">
        <f>(C103-B103)/B103</f>
        <v>-4.0943334425155582E-2</v>
      </c>
      <c r="E103" s="9">
        <v>56.77</v>
      </c>
      <c r="F103" s="16">
        <f>(C103-E103)/E103</f>
        <v>3.1530738065879853E-2</v>
      </c>
      <c r="G103" s="40"/>
      <c r="H103" s="16"/>
      <c r="I103" s="16"/>
      <c r="L103" s="16"/>
    </row>
    <row r="104" spans="1:12">
      <c r="A104" s="143"/>
      <c r="B104" s="143"/>
      <c r="C104" s="7"/>
      <c r="D104" s="16"/>
      <c r="E104" s="9"/>
      <c r="F104" s="16"/>
      <c r="G104" s="40"/>
      <c r="H104" s="16"/>
      <c r="I104" s="16"/>
      <c r="L104" s="16"/>
    </row>
    <row r="105" spans="1:12">
      <c r="A105" s="2" t="s">
        <v>3590</v>
      </c>
      <c r="B105" s="7"/>
      <c r="C105" s="31" t="s">
        <v>3483</v>
      </c>
      <c r="D105" s="43"/>
      <c r="E105" s="44"/>
      <c r="F105" s="43"/>
      <c r="G105" s="23" t="s">
        <v>3984</v>
      </c>
      <c r="H105" s="43"/>
      <c r="I105" s="43">
        <f>AVERAGE(F106)</f>
        <v>0</v>
      </c>
      <c r="J105" s="8"/>
      <c r="K105" s="8"/>
      <c r="L105" s="43"/>
    </row>
    <row r="106" spans="1:12">
      <c r="A106" s="1" t="s">
        <v>3591</v>
      </c>
      <c r="B106" s="7">
        <v>49.7</v>
      </c>
      <c r="C106" s="7">
        <v>25.44</v>
      </c>
      <c r="D106" s="16">
        <f>(C106-B106)/B106</f>
        <v>-0.48812877263581489</v>
      </c>
      <c r="E106" s="9">
        <v>25.44</v>
      </c>
      <c r="F106" s="16">
        <f>(C106-E106)/E106</f>
        <v>0</v>
      </c>
      <c r="G106" s="40"/>
      <c r="H106" s="16"/>
      <c r="I106" s="16"/>
      <c r="L106" s="16"/>
    </row>
    <row r="107" spans="1:12">
      <c r="A107" s="143"/>
      <c r="B107" s="143"/>
      <c r="C107" s="7"/>
      <c r="D107" s="16"/>
      <c r="E107" s="9"/>
      <c r="F107" s="16"/>
      <c r="G107" s="40"/>
      <c r="H107" s="16"/>
      <c r="I107" s="16"/>
      <c r="L107" s="16"/>
    </row>
    <row r="108" spans="1:12" ht="25.5" customHeight="1">
      <c r="A108" s="2" t="s">
        <v>3942</v>
      </c>
      <c r="B108" s="147" t="s">
        <v>3912</v>
      </c>
      <c r="C108" s="147" t="s">
        <v>3912</v>
      </c>
      <c r="D108" s="43"/>
      <c r="E108" s="44"/>
      <c r="F108" s="43"/>
      <c r="G108" s="23" t="s">
        <v>3983</v>
      </c>
      <c r="H108" s="43">
        <f>AVERAGE(F110:F161)</f>
        <v>8.8751982432597215E-2</v>
      </c>
      <c r="I108" s="43"/>
      <c r="J108" s="8"/>
      <c r="K108" s="8"/>
      <c r="L108" s="43"/>
    </row>
    <row r="109" spans="1:12">
      <c r="A109" s="3" t="s">
        <v>3569</v>
      </c>
      <c r="B109" s="147"/>
      <c r="C109" s="147"/>
      <c r="D109" s="16"/>
      <c r="E109" s="9"/>
      <c r="F109" s="16"/>
      <c r="G109" s="40"/>
      <c r="H109" s="16"/>
      <c r="I109" s="16"/>
      <c r="L109" s="16"/>
    </row>
    <row r="110" spans="1:12">
      <c r="A110" s="1" t="s">
        <v>3573</v>
      </c>
      <c r="B110" s="7">
        <v>41.33</v>
      </c>
      <c r="C110" s="7">
        <v>43.08</v>
      </c>
      <c r="D110" s="16">
        <f t="shared" ref="D110:D125" si="2">(C110-B110)/B110</f>
        <v>4.2342124364868138E-2</v>
      </c>
      <c r="E110" s="9">
        <v>46.84</v>
      </c>
      <c r="F110" s="16">
        <f t="shared" ref="F110:F125" si="3">(C110-E110)/E110</f>
        <v>-8.0273270708796002E-2</v>
      </c>
      <c r="G110" s="40"/>
      <c r="H110" s="16"/>
      <c r="I110" s="16"/>
      <c r="L110" s="16"/>
    </row>
    <row r="111" spans="1:12">
      <c r="A111" s="1" t="s">
        <v>3574</v>
      </c>
      <c r="B111" s="7">
        <v>44.09</v>
      </c>
      <c r="C111" s="7">
        <v>45.84</v>
      </c>
      <c r="D111" s="16">
        <f t="shared" si="2"/>
        <v>3.9691540031753229E-2</v>
      </c>
      <c r="E111" s="9">
        <v>46.84</v>
      </c>
      <c r="F111" s="16">
        <f t="shared" si="3"/>
        <v>-2.1349274124679761E-2</v>
      </c>
      <c r="G111" s="40"/>
      <c r="H111" s="16"/>
      <c r="I111" s="16"/>
      <c r="L111" s="16"/>
    </row>
    <row r="112" spans="1:12">
      <c r="A112" s="1" t="s">
        <v>3575</v>
      </c>
      <c r="B112" s="7">
        <v>44.62</v>
      </c>
      <c r="C112" s="7">
        <v>46.37</v>
      </c>
      <c r="D112" s="16">
        <f t="shared" si="2"/>
        <v>3.9220080681308833E-2</v>
      </c>
      <c r="E112" s="9">
        <v>46.84</v>
      </c>
      <c r="F112" s="16">
        <f t="shared" si="3"/>
        <v>-1.0034158838599615E-2</v>
      </c>
      <c r="G112" s="40"/>
      <c r="H112" s="16"/>
      <c r="I112" s="16"/>
      <c r="L112" s="16"/>
    </row>
    <row r="113" spans="1:12">
      <c r="A113" s="1" t="s">
        <v>3576</v>
      </c>
      <c r="B113" s="7">
        <v>44.89</v>
      </c>
      <c r="C113" s="7">
        <v>46.64</v>
      </c>
      <c r="D113" s="16">
        <f t="shared" si="2"/>
        <v>3.8984183559812875E-2</v>
      </c>
      <c r="E113" s="9">
        <v>46.84</v>
      </c>
      <c r="F113" s="16">
        <f t="shared" si="3"/>
        <v>-4.2698548249360127E-3</v>
      </c>
      <c r="G113" s="40"/>
      <c r="H113" s="16"/>
      <c r="I113" s="16"/>
      <c r="L113" s="16"/>
    </row>
    <row r="114" spans="1:12">
      <c r="A114" s="1" t="s">
        <v>3577</v>
      </c>
      <c r="B114" s="7">
        <v>45.63</v>
      </c>
      <c r="C114" s="7">
        <v>47.38</v>
      </c>
      <c r="D114" s="16">
        <f t="shared" si="2"/>
        <v>3.8351961428884501E-2</v>
      </c>
      <c r="E114" s="9">
        <v>46.84</v>
      </c>
      <c r="F114" s="16">
        <f t="shared" si="3"/>
        <v>1.1528608027327051E-2</v>
      </c>
      <c r="G114" s="40"/>
      <c r="H114" s="16"/>
      <c r="I114" s="16"/>
      <c r="L114" s="16"/>
    </row>
    <row r="115" spans="1:12">
      <c r="A115" s="1" t="s">
        <v>3579</v>
      </c>
      <c r="B115" s="7">
        <v>45.93</v>
      </c>
      <c r="C115" s="7">
        <v>47.68</v>
      </c>
      <c r="D115" s="16">
        <f t="shared" si="2"/>
        <v>3.8101458741563246E-2</v>
      </c>
      <c r="E115" s="9">
        <v>46.84</v>
      </c>
      <c r="F115" s="16">
        <f t="shared" si="3"/>
        <v>1.7933390264730918E-2</v>
      </c>
      <c r="G115" s="40"/>
      <c r="H115" s="16"/>
      <c r="I115" s="16"/>
      <c r="L115" s="16"/>
    </row>
    <row r="116" spans="1:12">
      <c r="A116" s="1" t="s">
        <v>3580</v>
      </c>
      <c r="B116" s="7">
        <v>46.1</v>
      </c>
      <c r="C116" s="7">
        <v>47.85</v>
      </c>
      <c r="D116" s="16">
        <f t="shared" si="2"/>
        <v>3.7960954446854663E-2</v>
      </c>
      <c r="E116" s="9">
        <v>46.84</v>
      </c>
      <c r="F116" s="16">
        <f t="shared" si="3"/>
        <v>2.1562766865926515E-2</v>
      </c>
      <c r="G116" s="40"/>
      <c r="H116" s="16"/>
      <c r="I116" s="16"/>
      <c r="L116" s="16"/>
    </row>
    <row r="117" spans="1:12">
      <c r="A117" s="1" t="s">
        <v>3593</v>
      </c>
      <c r="B117" s="7">
        <v>46.35</v>
      </c>
      <c r="C117" s="7">
        <v>48.1</v>
      </c>
      <c r="D117" s="16">
        <f t="shared" si="2"/>
        <v>3.7756202804746494E-2</v>
      </c>
      <c r="E117" s="9">
        <v>46.84</v>
      </c>
      <c r="F117" s="16">
        <f t="shared" si="3"/>
        <v>2.6900085397096454E-2</v>
      </c>
      <c r="G117" s="40"/>
      <c r="H117" s="16"/>
      <c r="I117" s="16"/>
      <c r="L117" s="16"/>
    </row>
    <row r="118" spans="1:12">
      <c r="A118" s="1" t="s">
        <v>3594</v>
      </c>
      <c r="B118" s="7">
        <v>46.94</v>
      </c>
      <c r="C118" s="7">
        <v>48.69</v>
      </c>
      <c r="D118" s="16">
        <f t="shared" si="2"/>
        <v>3.7281636131231359E-2</v>
      </c>
      <c r="E118" s="9">
        <v>46.84</v>
      </c>
      <c r="F118" s="16">
        <f t="shared" si="3"/>
        <v>3.9496157130657433E-2</v>
      </c>
      <c r="G118" s="40"/>
      <c r="H118" s="16"/>
      <c r="I118" s="16"/>
      <c r="L118" s="16"/>
    </row>
    <row r="119" spans="1:12">
      <c r="A119" s="1" t="s">
        <v>3595</v>
      </c>
      <c r="B119" s="7">
        <v>47.26</v>
      </c>
      <c r="C119" s="7">
        <v>49.01</v>
      </c>
      <c r="D119" s="16">
        <f t="shared" si="2"/>
        <v>3.7029200169276348E-2</v>
      </c>
      <c r="E119" s="9">
        <v>46.84</v>
      </c>
      <c r="F119" s="16">
        <f t="shared" si="3"/>
        <v>4.6327924850554959E-2</v>
      </c>
      <c r="G119" s="40"/>
      <c r="H119" s="16"/>
      <c r="I119" s="16"/>
      <c r="L119" s="16"/>
    </row>
    <row r="120" spans="1:12">
      <c r="A120" s="1" t="s">
        <v>3596</v>
      </c>
      <c r="B120" s="7">
        <v>47.61</v>
      </c>
      <c r="C120" s="7">
        <v>49.36</v>
      </c>
      <c r="D120" s="16">
        <f t="shared" si="2"/>
        <v>3.6756983826927117E-2</v>
      </c>
      <c r="E120" s="9">
        <v>46.84</v>
      </c>
      <c r="F120" s="16">
        <f t="shared" si="3"/>
        <v>5.3800170794192907E-2</v>
      </c>
      <c r="G120" s="40"/>
      <c r="H120" s="16"/>
      <c r="I120" s="16"/>
      <c r="L120" s="16"/>
    </row>
    <row r="121" spans="1:12">
      <c r="A121" s="1" t="s">
        <v>3597</v>
      </c>
      <c r="B121" s="7">
        <v>47.8</v>
      </c>
      <c r="C121" s="7">
        <v>49.55</v>
      </c>
      <c r="D121" s="16">
        <f t="shared" si="2"/>
        <v>3.6610878661087871E-2</v>
      </c>
      <c r="E121" s="9">
        <v>46.84</v>
      </c>
      <c r="F121" s="16">
        <f t="shared" si="3"/>
        <v>5.7856532877882012E-2</v>
      </c>
      <c r="G121" s="40"/>
      <c r="H121" s="16"/>
      <c r="I121" s="16"/>
      <c r="L121" s="16"/>
    </row>
    <row r="122" spans="1:12">
      <c r="A122" s="1" t="s">
        <v>3598</v>
      </c>
      <c r="B122" s="7">
        <v>48.04</v>
      </c>
      <c r="C122" s="7">
        <v>49.79</v>
      </c>
      <c r="D122" s="16">
        <f t="shared" si="2"/>
        <v>3.6427976686094925E-2</v>
      </c>
      <c r="E122" s="9">
        <v>46.84</v>
      </c>
      <c r="F122" s="16">
        <f t="shared" si="3"/>
        <v>6.29803586678052E-2</v>
      </c>
      <c r="G122" s="40"/>
      <c r="H122" s="16"/>
      <c r="I122" s="16"/>
      <c r="L122" s="16"/>
    </row>
    <row r="123" spans="1:12">
      <c r="A123" s="1" t="s">
        <v>3599</v>
      </c>
      <c r="B123" s="7">
        <v>49.68</v>
      </c>
      <c r="C123" s="7">
        <v>51.43</v>
      </c>
      <c r="D123" s="16">
        <f t="shared" si="2"/>
        <v>3.5225442834138483E-2</v>
      </c>
      <c r="E123" s="9">
        <v>46.84</v>
      </c>
      <c r="F123" s="16">
        <f t="shared" si="3"/>
        <v>9.799316823228002E-2</v>
      </c>
      <c r="G123" s="40"/>
      <c r="H123" s="16"/>
      <c r="I123" s="16"/>
      <c r="L123" s="16"/>
    </row>
    <row r="124" spans="1:12">
      <c r="A124" s="1" t="s">
        <v>3600</v>
      </c>
      <c r="B124" s="7">
        <v>50.49</v>
      </c>
      <c r="C124" s="7">
        <v>52.24</v>
      </c>
      <c r="D124" s="16">
        <f t="shared" si="2"/>
        <v>3.4660328777975834E-2</v>
      </c>
      <c r="E124" s="9">
        <v>46.84</v>
      </c>
      <c r="F124" s="16">
        <f t="shared" si="3"/>
        <v>0.11528608027327067</v>
      </c>
      <c r="G124" s="40"/>
      <c r="H124" s="16"/>
      <c r="I124" s="16"/>
      <c r="L124" s="16"/>
    </row>
    <row r="125" spans="1:12">
      <c r="A125" s="1" t="s">
        <v>3601</v>
      </c>
      <c r="B125" s="7">
        <v>49.68</v>
      </c>
      <c r="C125" s="7">
        <v>51.43</v>
      </c>
      <c r="D125" s="16">
        <f t="shared" si="2"/>
        <v>3.5225442834138483E-2</v>
      </c>
      <c r="E125" s="9">
        <v>46.84</v>
      </c>
      <c r="F125" s="16">
        <f t="shared" si="3"/>
        <v>9.799316823228002E-2</v>
      </c>
      <c r="G125" s="40"/>
      <c r="H125" s="16"/>
      <c r="I125" s="16"/>
      <c r="L125" s="16"/>
    </row>
    <row r="126" spans="1:12" ht="25.5">
      <c r="A126" s="1" t="s">
        <v>3602</v>
      </c>
      <c r="B126" s="11" t="s">
        <v>3534</v>
      </c>
      <c r="C126" s="11" t="s">
        <v>3534</v>
      </c>
      <c r="D126" s="16"/>
      <c r="E126" s="9"/>
      <c r="F126" s="16"/>
      <c r="G126" s="40"/>
      <c r="H126" s="16"/>
      <c r="I126" s="16"/>
      <c r="L126" s="16"/>
    </row>
    <row r="127" spans="1:12" ht="25.5">
      <c r="A127" s="1" t="s">
        <v>3603</v>
      </c>
      <c r="B127" s="11" t="s">
        <v>3534</v>
      </c>
      <c r="C127" s="11" t="s">
        <v>3534</v>
      </c>
      <c r="D127" s="16"/>
      <c r="E127" s="9"/>
      <c r="F127" s="16"/>
      <c r="G127" s="40"/>
      <c r="H127" s="16"/>
      <c r="I127" s="16"/>
      <c r="L127" s="16"/>
    </row>
    <row r="128" spans="1:12">
      <c r="A128" s="143"/>
      <c r="B128" s="143"/>
      <c r="C128" s="7"/>
      <c r="D128" s="16"/>
      <c r="E128" s="9"/>
      <c r="F128" s="16"/>
      <c r="G128" s="40"/>
      <c r="H128" s="16"/>
      <c r="I128" s="16"/>
      <c r="L128" s="16"/>
    </row>
    <row r="129" spans="1:12" ht="25.5" customHeight="1">
      <c r="A129" s="2" t="s">
        <v>3604</v>
      </c>
      <c r="B129" s="147" t="s">
        <v>3510</v>
      </c>
      <c r="C129" s="147" t="s">
        <v>3510</v>
      </c>
      <c r="D129" s="16"/>
      <c r="E129" s="9"/>
      <c r="F129" s="16"/>
      <c r="G129" s="40"/>
      <c r="H129" s="16"/>
      <c r="I129" s="16"/>
      <c r="L129" s="16"/>
    </row>
    <row r="130" spans="1:12">
      <c r="A130" s="3" t="s">
        <v>3569</v>
      </c>
      <c r="B130" s="147"/>
      <c r="C130" s="147"/>
      <c r="D130" s="16"/>
      <c r="E130" s="9"/>
      <c r="F130" s="16"/>
      <c r="G130" s="40"/>
      <c r="H130" s="16"/>
      <c r="I130" s="16"/>
      <c r="L130" s="16"/>
    </row>
    <row r="131" spans="1:12">
      <c r="A131" s="1" t="s">
        <v>3573</v>
      </c>
      <c r="B131" s="7">
        <v>56.63</v>
      </c>
      <c r="C131" s="7">
        <v>58.38</v>
      </c>
      <c r="D131" s="16">
        <f t="shared" ref="D131:D142" si="4">(C131-B131)/B131</f>
        <v>3.0902348578491962E-2</v>
      </c>
      <c r="E131" s="9">
        <v>46.84</v>
      </c>
      <c r="F131" s="16">
        <f t="shared" ref="F131:F142" si="5">(C131-E131)/E131</f>
        <v>0.24637062339880442</v>
      </c>
      <c r="G131" s="40"/>
      <c r="H131" s="16"/>
      <c r="I131" s="16"/>
      <c r="L131" s="16"/>
    </row>
    <row r="132" spans="1:12">
      <c r="A132" s="1" t="s">
        <v>3605</v>
      </c>
      <c r="B132" s="7">
        <v>50.46</v>
      </c>
      <c r="C132" s="7">
        <v>52.21</v>
      </c>
      <c r="D132" s="16">
        <f t="shared" si="4"/>
        <v>3.4680935394371781E-2</v>
      </c>
      <c r="E132" s="9">
        <v>46.84</v>
      </c>
      <c r="F132" s="16">
        <f t="shared" si="5"/>
        <v>0.11464560204953025</v>
      </c>
      <c r="G132" s="40"/>
      <c r="H132" s="16"/>
      <c r="I132" s="16"/>
      <c r="L132" s="16"/>
    </row>
    <row r="133" spans="1:12">
      <c r="A133" s="1" t="s">
        <v>3606</v>
      </c>
      <c r="B133" s="7">
        <v>48.5</v>
      </c>
      <c r="C133" s="7">
        <v>50.25</v>
      </c>
      <c r="D133" s="16">
        <f t="shared" si="4"/>
        <v>3.608247422680412E-2</v>
      </c>
      <c r="E133" s="9">
        <v>46.84</v>
      </c>
      <c r="F133" s="16">
        <f t="shared" si="5"/>
        <v>7.2801024765157901E-2</v>
      </c>
      <c r="G133" s="40"/>
      <c r="H133" s="16"/>
      <c r="I133" s="16"/>
      <c r="L133" s="16"/>
    </row>
    <row r="134" spans="1:12">
      <c r="A134" s="1" t="s">
        <v>3575</v>
      </c>
      <c r="B134" s="7">
        <v>55.12</v>
      </c>
      <c r="C134" s="7">
        <v>56.87</v>
      </c>
      <c r="D134" s="16">
        <f t="shared" si="4"/>
        <v>3.17489114658926E-2</v>
      </c>
      <c r="E134" s="9">
        <v>46.84</v>
      </c>
      <c r="F134" s="16">
        <f t="shared" si="5"/>
        <v>0.21413321947053787</v>
      </c>
      <c r="G134" s="40"/>
      <c r="H134" s="16"/>
      <c r="I134" s="16"/>
      <c r="L134" s="16"/>
    </row>
    <row r="135" spans="1:12">
      <c r="A135" s="1" t="s">
        <v>3607</v>
      </c>
      <c r="B135" s="7">
        <v>50.21</v>
      </c>
      <c r="C135" s="7">
        <v>51.96</v>
      </c>
      <c r="D135" s="16">
        <f t="shared" si="4"/>
        <v>3.4853614817765388E-2</v>
      </c>
      <c r="E135" s="9">
        <v>46.84</v>
      </c>
      <c r="F135" s="16">
        <f t="shared" si="5"/>
        <v>0.10930828351836032</v>
      </c>
      <c r="G135" s="40"/>
      <c r="H135" s="16"/>
      <c r="I135" s="16"/>
      <c r="L135" s="16"/>
    </row>
    <row r="136" spans="1:12">
      <c r="A136" s="1" t="s">
        <v>3608</v>
      </c>
      <c r="B136" s="7">
        <v>48.29</v>
      </c>
      <c r="C136" s="7">
        <v>50.04</v>
      </c>
      <c r="D136" s="16">
        <f t="shared" si="4"/>
        <v>3.6239387036653553E-2</v>
      </c>
      <c r="E136" s="9">
        <v>46.84</v>
      </c>
      <c r="F136" s="16">
        <f t="shared" si="5"/>
        <v>6.8317677198975135E-2</v>
      </c>
      <c r="G136" s="40"/>
      <c r="H136" s="16"/>
      <c r="I136" s="16"/>
      <c r="L136" s="16"/>
    </row>
    <row r="137" spans="1:12">
      <c r="A137" s="1" t="s">
        <v>3576</v>
      </c>
      <c r="B137" s="7">
        <v>53.88</v>
      </c>
      <c r="C137" s="7">
        <v>55.63</v>
      </c>
      <c r="D137" s="16">
        <f t="shared" si="4"/>
        <v>3.2479584261321456E-2</v>
      </c>
      <c r="E137" s="9">
        <v>46.84</v>
      </c>
      <c r="F137" s="16">
        <f t="shared" si="5"/>
        <v>0.18766011955593506</v>
      </c>
      <c r="G137" s="40"/>
      <c r="H137" s="16"/>
      <c r="I137" s="16"/>
      <c r="L137" s="16"/>
    </row>
    <row r="138" spans="1:12">
      <c r="A138" s="1" t="s">
        <v>3609</v>
      </c>
      <c r="B138" s="7">
        <v>49.99</v>
      </c>
      <c r="C138" s="7">
        <v>51.74</v>
      </c>
      <c r="D138" s="16">
        <f t="shared" si="4"/>
        <v>3.5007001400280055E-2</v>
      </c>
      <c r="E138" s="9">
        <v>46.84</v>
      </c>
      <c r="F138" s="16">
        <f t="shared" si="5"/>
        <v>0.10461144321093079</v>
      </c>
      <c r="G138" s="40"/>
      <c r="H138" s="16"/>
      <c r="I138" s="16"/>
      <c r="L138" s="16"/>
    </row>
    <row r="139" spans="1:12">
      <c r="A139" s="1" t="s">
        <v>3610</v>
      </c>
      <c r="B139" s="7">
        <v>48.07</v>
      </c>
      <c r="C139" s="7">
        <v>49.82</v>
      </c>
      <c r="D139" s="16">
        <f t="shared" si="4"/>
        <v>3.6405242354899107E-2</v>
      </c>
      <c r="E139" s="9">
        <v>46.84</v>
      </c>
      <c r="F139" s="16">
        <f t="shared" si="5"/>
        <v>6.3620836891545615E-2</v>
      </c>
      <c r="G139" s="40"/>
      <c r="H139" s="16"/>
      <c r="I139" s="16"/>
      <c r="L139" s="16"/>
    </row>
    <row r="140" spans="1:12">
      <c r="A140" s="1" t="s">
        <v>3611</v>
      </c>
      <c r="B140" s="7">
        <v>49.66</v>
      </c>
      <c r="C140" s="7">
        <v>51.41</v>
      </c>
      <c r="D140" s="16">
        <f t="shared" si="4"/>
        <v>3.5239629480467181E-2</v>
      </c>
      <c r="E140" s="9">
        <v>46.84</v>
      </c>
      <c r="F140" s="16">
        <f t="shared" si="5"/>
        <v>9.7566182749786359E-2</v>
      </c>
      <c r="G140" s="40"/>
      <c r="H140" s="16"/>
      <c r="I140" s="16"/>
      <c r="L140" s="16"/>
    </row>
    <row r="141" spans="1:12">
      <c r="A141" s="1" t="s">
        <v>3577</v>
      </c>
      <c r="B141" s="7">
        <v>52.15</v>
      </c>
      <c r="C141" s="7">
        <v>53.9</v>
      </c>
      <c r="D141" s="16">
        <f t="shared" si="4"/>
        <v>3.3557046979865772E-2</v>
      </c>
      <c r="E141" s="9">
        <v>46.84</v>
      </c>
      <c r="F141" s="16">
        <f t="shared" si="5"/>
        <v>0.15072587532023901</v>
      </c>
      <c r="G141" s="40"/>
      <c r="H141" s="16"/>
      <c r="I141" s="16"/>
      <c r="L141" s="16"/>
    </row>
    <row r="142" spans="1:12">
      <c r="A142" s="1" t="s">
        <v>3579</v>
      </c>
      <c r="B142" s="7">
        <v>51.05</v>
      </c>
      <c r="C142" s="7">
        <v>52.8</v>
      </c>
      <c r="D142" s="16">
        <f t="shared" si="4"/>
        <v>3.4280117531831543E-2</v>
      </c>
      <c r="E142" s="9">
        <v>46.84</v>
      </c>
      <c r="F142" s="16">
        <f t="shared" si="5"/>
        <v>0.12724167378309123</v>
      </c>
      <c r="G142" s="40"/>
      <c r="H142" s="16"/>
      <c r="I142" s="16"/>
      <c r="L142" s="16"/>
    </row>
    <row r="143" spans="1:12" ht="25.5">
      <c r="A143" s="1" t="s">
        <v>3602</v>
      </c>
      <c r="B143" s="11" t="s">
        <v>3534</v>
      </c>
      <c r="C143" s="11" t="s">
        <v>3534</v>
      </c>
      <c r="D143" s="16"/>
      <c r="E143" s="9"/>
      <c r="F143" s="16"/>
      <c r="G143" s="40"/>
      <c r="H143" s="16"/>
      <c r="I143" s="16"/>
      <c r="L143" s="16"/>
    </row>
    <row r="144" spans="1:12" ht="25.5">
      <c r="A144" s="1" t="s">
        <v>3612</v>
      </c>
      <c r="B144" s="7"/>
      <c r="C144" s="7"/>
      <c r="D144" s="16"/>
      <c r="E144" s="9"/>
      <c r="F144" s="16"/>
      <c r="G144" s="40"/>
      <c r="H144" s="16"/>
      <c r="I144" s="16"/>
      <c r="L144" s="16"/>
    </row>
    <row r="145" spans="1:12">
      <c r="A145" s="1"/>
      <c r="B145" s="7"/>
      <c r="C145" s="7"/>
      <c r="D145" s="16"/>
      <c r="E145" s="9"/>
      <c r="F145" s="16"/>
      <c r="G145" s="40"/>
      <c r="H145" s="16"/>
      <c r="I145" s="16"/>
      <c r="L145" s="16"/>
    </row>
    <row r="146" spans="1:12" ht="25.5" customHeight="1">
      <c r="A146" s="2" t="s">
        <v>3613</v>
      </c>
      <c r="B146" s="147" t="s">
        <v>3510</v>
      </c>
      <c r="C146" s="147" t="s">
        <v>3510</v>
      </c>
      <c r="D146" s="16"/>
      <c r="E146" s="9"/>
      <c r="F146" s="16"/>
      <c r="G146" s="23" t="s">
        <v>3983</v>
      </c>
      <c r="H146" s="16"/>
      <c r="I146" s="16"/>
      <c r="L146" s="16"/>
    </row>
    <row r="147" spans="1:12">
      <c r="A147" s="3" t="s">
        <v>3569</v>
      </c>
      <c r="B147" s="147"/>
      <c r="C147" s="147"/>
      <c r="D147" s="16"/>
      <c r="E147" s="9"/>
      <c r="F147" s="16"/>
      <c r="G147" s="40"/>
      <c r="H147" s="16"/>
      <c r="I147" s="16"/>
      <c r="L147" s="16"/>
    </row>
    <row r="148" spans="1:12">
      <c r="A148" s="1" t="s">
        <v>3573</v>
      </c>
      <c r="B148" s="7">
        <v>56.1</v>
      </c>
      <c r="C148" s="7">
        <v>57.85</v>
      </c>
      <c r="D148" s="16">
        <f t="shared" ref="D148:D161" si="6">(C148-B148)/B148</f>
        <v>3.1194295900178252E-2</v>
      </c>
      <c r="E148" s="9">
        <v>46.84</v>
      </c>
      <c r="F148" s="16">
        <f t="shared" ref="F148:F161" si="7">(C148-E148)/E148</f>
        <v>0.2350555081127241</v>
      </c>
      <c r="G148" s="40"/>
      <c r="H148" s="16"/>
      <c r="I148" s="16"/>
      <c r="L148" s="16"/>
    </row>
    <row r="149" spans="1:12">
      <c r="A149" s="1" t="s">
        <v>3605</v>
      </c>
      <c r="B149" s="7">
        <v>50.64</v>
      </c>
      <c r="C149" s="7">
        <v>52.39</v>
      </c>
      <c r="D149" s="16">
        <f t="shared" si="6"/>
        <v>3.4557661927330174E-2</v>
      </c>
      <c r="E149" s="9">
        <v>46.84</v>
      </c>
      <c r="F149" s="16">
        <f t="shared" si="7"/>
        <v>0.11848847139197261</v>
      </c>
      <c r="G149" s="40"/>
      <c r="H149" s="16"/>
      <c r="I149" s="16"/>
      <c r="L149" s="16"/>
    </row>
    <row r="150" spans="1:12">
      <c r="A150" s="1" t="s">
        <v>3606</v>
      </c>
      <c r="B150" s="7">
        <v>48.72</v>
      </c>
      <c r="C150" s="7">
        <v>50.47</v>
      </c>
      <c r="D150" s="16">
        <f t="shared" si="6"/>
        <v>3.5919540229885055E-2</v>
      </c>
      <c r="E150" s="9">
        <v>46.84</v>
      </c>
      <c r="F150" s="16">
        <f t="shared" si="7"/>
        <v>7.7497865072587435E-2</v>
      </c>
      <c r="G150" s="40"/>
      <c r="H150" s="16"/>
      <c r="I150" s="16"/>
      <c r="L150" s="16"/>
    </row>
    <row r="151" spans="1:12">
      <c r="A151" s="1" t="s">
        <v>3575</v>
      </c>
      <c r="B151" s="7">
        <v>54.56</v>
      </c>
      <c r="C151" s="7">
        <v>56.31</v>
      </c>
      <c r="D151" s="16">
        <f t="shared" si="6"/>
        <v>3.2074780058651026E-2</v>
      </c>
      <c r="E151" s="9">
        <v>46.84</v>
      </c>
      <c r="F151" s="16">
        <f t="shared" si="7"/>
        <v>0.20217762596071728</v>
      </c>
      <c r="G151" s="40"/>
      <c r="H151" s="16"/>
      <c r="I151" s="16"/>
      <c r="L151" s="16"/>
    </row>
    <row r="152" spans="1:12">
      <c r="A152" s="1" t="s">
        <v>3607</v>
      </c>
      <c r="B152" s="7">
        <v>50.43</v>
      </c>
      <c r="C152" s="7">
        <v>52.18</v>
      </c>
      <c r="D152" s="16">
        <f t="shared" si="6"/>
        <v>3.4701566527860397E-2</v>
      </c>
      <c r="E152" s="9">
        <v>46.84</v>
      </c>
      <c r="F152" s="16">
        <f t="shared" si="7"/>
        <v>0.11400512382578984</v>
      </c>
      <c r="G152" s="40"/>
      <c r="H152" s="16"/>
      <c r="I152" s="16"/>
      <c r="L152" s="16"/>
    </row>
    <row r="153" spans="1:12">
      <c r="A153" s="1" t="s">
        <v>3608</v>
      </c>
      <c r="B153" s="7">
        <v>48.52</v>
      </c>
      <c r="C153" s="7">
        <v>50.27</v>
      </c>
      <c r="D153" s="16">
        <f t="shared" si="6"/>
        <v>3.6067600989282765E-2</v>
      </c>
      <c r="E153" s="9">
        <v>46.84</v>
      </c>
      <c r="F153" s="16">
        <f t="shared" si="7"/>
        <v>7.3228010247651562E-2</v>
      </c>
      <c r="G153" s="40"/>
      <c r="H153" s="16"/>
      <c r="I153" s="16"/>
      <c r="L153" s="16"/>
    </row>
    <row r="154" spans="1:12">
      <c r="A154" s="1" t="s">
        <v>3576</v>
      </c>
      <c r="B154" s="7">
        <v>53.11</v>
      </c>
      <c r="C154" s="7">
        <v>54.86</v>
      </c>
      <c r="D154" s="16">
        <f t="shared" si="6"/>
        <v>3.2950480135567693E-2</v>
      </c>
      <c r="E154" s="9">
        <v>46.84</v>
      </c>
      <c r="F154" s="16">
        <f t="shared" si="7"/>
        <v>0.1712211784799316</v>
      </c>
      <c r="G154" s="40"/>
      <c r="H154" s="16"/>
      <c r="I154" s="16"/>
      <c r="L154" s="16"/>
    </row>
    <row r="155" spans="1:12">
      <c r="A155" s="1" t="s">
        <v>3609</v>
      </c>
      <c r="B155" s="7">
        <v>50.21</v>
      </c>
      <c r="C155" s="7">
        <v>51.96</v>
      </c>
      <c r="D155" s="16">
        <f t="shared" si="6"/>
        <v>3.4853614817765388E-2</v>
      </c>
      <c r="E155" s="9">
        <v>46.84</v>
      </c>
      <c r="F155" s="16">
        <f t="shared" si="7"/>
        <v>0.10930828351836032</v>
      </c>
      <c r="G155" s="40"/>
      <c r="H155" s="16"/>
      <c r="I155" s="16"/>
      <c r="L155" s="16"/>
    </row>
    <row r="156" spans="1:12">
      <c r="A156" s="1" t="s">
        <v>3610</v>
      </c>
      <c r="B156" s="7">
        <v>48.29</v>
      </c>
      <c r="C156" s="7">
        <v>50.04</v>
      </c>
      <c r="D156" s="16">
        <f t="shared" si="6"/>
        <v>3.6239387036653553E-2</v>
      </c>
      <c r="E156" s="9">
        <v>46.84</v>
      </c>
      <c r="F156" s="16">
        <f t="shared" si="7"/>
        <v>6.8317677198975135E-2</v>
      </c>
      <c r="G156" s="40"/>
      <c r="H156" s="16"/>
      <c r="I156" s="16"/>
      <c r="L156" s="16"/>
    </row>
    <row r="157" spans="1:12">
      <c r="A157" s="1" t="s">
        <v>3577</v>
      </c>
      <c r="B157" s="7">
        <v>51.6</v>
      </c>
      <c r="C157" s="7">
        <v>53.35</v>
      </c>
      <c r="D157" s="16">
        <f t="shared" si="6"/>
        <v>3.391472868217054E-2</v>
      </c>
      <c r="E157" s="9">
        <v>46.84</v>
      </c>
      <c r="F157" s="16">
        <f t="shared" si="7"/>
        <v>0.13898377455166519</v>
      </c>
      <c r="G157" s="40"/>
      <c r="H157" s="16"/>
      <c r="I157" s="16"/>
      <c r="L157" s="16"/>
    </row>
    <row r="158" spans="1:12">
      <c r="A158" s="1" t="s">
        <v>3579</v>
      </c>
      <c r="B158" s="7">
        <v>50.49</v>
      </c>
      <c r="C158" s="7">
        <v>52.24</v>
      </c>
      <c r="D158" s="16">
        <f t="shared" si="6"/>
        <v>3.4660328777975834E-2</v>
      </c>
      <c r="E158" s="9">
        <v>46.84</v>
      </c>
      <c r="F158" s="16">
        <f t="shared" si="7"/>
        <v>0.11528608027327067</v>
      </c>
      <c r="G158" s="40"/>
      <c r="H158" s="16"/>
      <c r="I158" s="16"/>
      <c r="L158" s="16"/>
    </row>
    <row r="159" spans="1:12">
      <c r="A159" s="1" t="s">
        <v>3580</v>
      </c>
      <c r="B159" s="7">
        <v>49.38</v>
      </c>
      <c r="C159" s="7">
        <v>51.13</v>
      </c>
      <c r="D159" s="16">
        <f t="shared" si="6"/>
        <v>3.5439449169704332E-2</v>
      </c>
      <c r="E159" s="9">
        <v>46.84</v>
      </c>
      <c r="F159" s="16">
        <f t="shared" si="7"/>
        <v>9.1588385994876148E-2</v>
      </c>
      <c r="G159" s="40"/>
      <c r="H159" s="16"/>
      <c r="I159" s="16"/>
      <c r="L159" s="16"/>
    </row>
    <row r="160" spans="1:12">
      <c r="A160" s="1" t="s">
        <v>3593</v>
      </c>
      <c r="B160" s="7">
        <v>48.42</v>
      </c>
      <c r="C160" s="7">
        <v>50.17</v>
      </c>
      <c r="D160" s="16">
        <f t="shared" si="6"/>
        <v>3.6142090045435768E-2</v>
      </c>
      <c r="E160" s="9">
        <v>46.84</v>
      </c>
      <c r="F160" s="16">
        <f t="shared" si="7"/>
        <v>7.1093082835183563E-2</v>
      </c>
      <c r="G160" s="40"/>
      <c r="H160" s="16"/>
      <c r="I160" s="16"/>
      <c r="L160" s="16"/>
    </row>
    <row r="161" spans="1:12">
      <c r="A161" s="1" t="s">
        <v>3594</v>
      </c>
      <c r="B161" s="7">
        <v>47.46</v>
      </c>
      <c r="C161" s="7">
        <v>49.21</v>
      </c>
      <c r="D161" s="16">
        <f t="shared" si="6"/>
        <v>3.687315634218289E-2</v>
      </c>
      <c r="E161" s="9">
        <v>46.84</v>
      </c>
      <c r="F161" s="16">
        <f t="shared" si="7"/>
        <v>5.0597779675490978E-2</v>
      </c>
      <c r="G161" s="40"/>
      <c r="H161" s="16"/>
      <c r="I161" s="16"/>
      <c r="L161" s="16"/>
    </row>
    <row r="162" spans="1:12">
      <c r="A162" s="1" t="s">
        <v>3614</v>
      </c>
      <c r="B162" s="11" t="s">
        <v>3534</v>
      </c>
      <c r="C162" s="11" t="s">
        <v>3534</v>
      </c>
      <c r="D162" s="16"/>
      <c r="E162" s="9"/>
      <c r="F162" s="16"/>
      <c r="G162" s="40"/>
      <c r="H162" s="16"/>
      <c r="I162" s="16"/>
      <c r="L162" s="16"/>
    </row>
    <row r="163" spans="1:12" ht="25.5">
      <c r="A163" s="1" t="s">
        <v>3615</v>
      </c>
      <c r="B163" s="11" t="s">
        <v>3534</v>
      </c>
      <c r="C163" s="11" t="s">
        <v>3534</v>
      </c>
      <c r="D163" s="16"/>
      <c r="E163" s="9"/>
      <c r="F163" s="16"/>
      <c r="G163" s="40"/>
      <c r="H163" s="16"/>
      <c r="I163" s="16"/>
      <c r="L163" s="16"/>
    </row>
    <row r="164" spans="1:12">
      <c r="A164" s="1"/>
      <c r="B164" s="7"/>
      <c r="C164" s="7"/>
      <c r="D164" s="16"/>
      <c r="E164" s="9"/>
      <c r="F164" s="16"/>
      <c r="G164" s="40"/>
      <c r="H164" s="16"/>
      <c r="I164" s="16"/>
      <c r="L164" s="16"/>
    </row>
    <row r="165" spans="1:12" ht="12.75" customHeight="1">
      <c r="A165" s="144" t="s">
        <v>3616</v>
      </c>
      <c r="B165" s="144"/>
      <c r="C165" s="31" t="s">
        <v>3483</v>
      </c>
      <c r="D165" s="43"/>
      <c r="E165" s="44"/>
      <c r="F165" s="43"/>
      <c r="G165" s="23" t="s">
        <v>3983</v>
      </c>
      <c r="H165" s="43">
        <f>AVERAGE(F166:F173)</f>
        <v>-7.4527744982290549E-3</v>
      </c>
      <c r="I165" s="43"/>
      <c r="J165" s="8"/>
      <c r="K165" s="8"/>
      <c r="L165" s="43"/>
    </row>
    <row r="166" spans="1:12">
      <c r="A166" s="1" t="s">
        <v>3617</v>
      </c>
      <c r="B166" s="7">
        <v>32.74</v>
      </c>
      <c r="C166" s="7">
        <v>32.74</v>
      </c>
      <c r="D166" s="16">
        <f t="shared" ref="D166:D173" si="8">(C166-B166)/B166</f>
        <v>0</v>
      </c>
      <c r="E166" s="9">
        <v>33.880000000000003</v>
      </c>
      <c r="F166" s="16">
        <f t="shared" ref="F166:F173" si="9">(C166-E166)/E166</f>
        <v>-3.3648170011806387E-2</v>
      </c>
      <c r="G166" s="40"/>
      <c r="H166" s="16"/>
      <c r="I166" s="16"/>
      <c r="L166" s="16"/>
    </row>
    <row r="167" spans="1:12">
      <c r="A167" s="1" t="s">
        <v>3618</v>
      </c>
      <c r="B167" s="7">
        <v>33.590000000000003</v>
      </c>
      <c r="C167" s="7">
        <v>33.590000000000003</v>
      </c>
      <c r="D167" s="16">
        <f t="shared" si="8"/>
        <v>0</v>
      </c>
      <c r="E167" s="9">
        <v>33.880000000000003</v>
      </c>
      <c r="F167" s="16">
        <f t="shared" si="9"/>
        <v>-8.5596221959858068E-3</v>
      </c>
      <c r="G167" s="40"/>
      <c r="H167" s="16"/>
      <c r="I167" s="16"/>
      <c r="L167" s="16"/>
    </row>
    <row r="168" spans="1:12">
      <c r="A168" s="1" t="s">
        <v>3619</v>
      </c>
      <c r="B168" s="7">
        <v>33.24</v>
      </c>
      <c r="C168" s="7">
        <v>33.24</v>
      </c>
      <c r="D168" s="16">
        <f t="shared" si="8"/>
        <v>0</v>
      </c>
      <c r="E168" s="9">
        <v>33.880000000000003</v>
      </c>
      <c r="F168" s="16">
        <f t="shared" si="9"/>
        <v>-1.8890200708382543E-2</v>
      </c>
      <c r="G168" s="40"/>
      <c r="H168" s="16"/>
      <c r="I168" s="16"/>
      <c r="L168" s="16"/>
    </row>
    <row r="169" spans="1:12">
      <c r="A169" s="1" t="s">
        <v>3620</v>
      </c>
      <c r="B169" s="7">
        <v>33.74</v>
      </c>
      <c r="C169" s="7">
        <v>33.74</v>
      </c>
      <c r="D169" s="16">
        <f t="shared" si="8"/>
        <v>0</v>
      </c>
      <c r="E169" s="9">
        <v>33.880000000000003</v>
      </c>
      <c r="F169" s="16">
        <f t="shared" si="9"/>
        <v>-4.1322314049586943E-3</v>
      </c>
      <c r="G169" s="40"/>
      <c r="H169" s="16"/>
      <c r="I169" s="16"/>
      <c r="L169" s="16"/>
    </row>
    <row r="170" spans="1:12">
      <c r="A170" s="1" t="s">
        <v>3621</v>
      </c>
      <c r="B170" s="7">
        <v>34.74</v>
      </c>
      <c r="C170" s="7">
        <v>34.74</v>
      </c>
      <c r="D170" s="16">
        <f t="shared" si="8"/>
        <v>0</v>
      </c>
      <c r="E170" s="9">
        <v>33.880000000000003</v>
      </c>
      <c r="F170" s="16">
        <f t="shared" si="9"/>
        <v>2.5383707201889E-2</v>
      </c>
      <c r="G170" s="40"/>
      <c r="H170" s="16"/>
      <c r="I170" s="16"/>
      <c r="L170" s="16"/>
    </row>
    <row r="171" spans="1:12">
      <c r="A171" s="1" t="s">
        <v>3622</v>
      </c>
      <c r="B171" s="7">
        <v>33.24</v>
      </c>
      <c r="C171" s="7">
        <v>33.24</v>
      </c>
      <c r="D171" s="16">
        <f t="shared" si="8"/>
        <v>0</v>
      </c>
      <c r="E171" s="9">
        <v>33.880000000000003</v>
      </c>
      <c r="F171" s="16">
        <f t="shared" si="9"/>
        <v>-1.8890200708382543E-2</v>
      </c>
      <c r="G171" s="40"/>
      <c r="H171" s="16"/>
      <c r="I171" s="16"/>
      <c r="L171" s="16"/>
    </row>
    <row r="172" spans="1:12">
      <c r="A172" s="1" t="s">
        <v>3623</v>
      </c>
      <c r="B172" s="7">
        <v>33.74</v>
      </c>
      <c r="C172" s="7">
        <v>33.74</v>
      </c>
      <c r="D172" s="16">
        <f t="shared" si="8"/>
        <v>0</v>
      </c>
      <c r="E172" s="9">
        <v>33.880000000000003</v>
      </c>
      <c r="F172" s="16">
        <f t="shared" si="9"/>
        <v>-4.1322314049586943E-3</v>
      </c>
      <c r="G172" s="40"/>
      <c r="H172" s="16"/>
      <c r="I172" s="16"/>
      <c r="L172" s="16"/>
    </row>
    <row r="173" spans="1:12" ht="25.5">
      <c r="A173" s="1" t="s">
        <v>3624</v>
      </c>
      <c r="B173" s="7">
        <v>33.99</v>
      </c>
      <c r="C173" s="7">
        <v>33.99</v>
      </c>
      <c r="D173" s="16">
        <f t="shared" si="8"/>
        <v>0</v>
      </c>
      <c r="E173" s="9">
        <v>33.880000000000003</v>
      </c>
      <c r="F173" s="16">
        <f t="shared" si="9"/>
        <v>3.2467532467532296E-3</v>
      </c>
      <c r="G173" s="40"/>
      <c r="H173" s="16"/>
      <c r="I173" s="16"/>
      <c r="L173" s="16"/>
    </row>
    <row r="174" spans="1:12" ht="63.75">
      <c r="A174" s="1" t="s">
        <v>3601</v>
      </c>
      <c r="B174" s="7" t="s">
        <v>3625</v>
      </c>
      <c r="C174" s="7" t="s">
        <v>3625</v>
      </c>
      <c r="D174" s="16"/>
      <c r="E174" s="9"/>
      <c r="F174" s="16"/>
      <c r="G174" s="40"/>
      <c r="H174" s="16"/>
      <c r="I174" s="16"/>
      <c r="L174" s="16"/>
    </row>
    <row r="175" spans="1:12">
      <c r="A175" s="1"/>
      <c r="B175" s="7"/>
      <c r="C175" s="7"/>
      <c r="D175" s="16"/>
      <c r="E175" s="9"/>
      <c r="F175" s="16"/>
      <c r="G175" s="40"/>
      <c r="H175" s="16"/>
      <c r="I175" s="16"/>
      <c r="L175" s="16"/>
    </row>
    <row r="176" spans="1:12">
      <c r="A176" s="1"/>
      <c r="B176" s="7"/>
      <c r="C176" s="7"/>
      <c r="D176" s="16"/>
      <c r="E176" s="9"/>
      <c r="F176" s="16"/>
      <c r="G176" s="40"/>
      <c r="H176" s="16"/>
      <c r="I176" s="16"/>
      <c r="L176" s="16"/>
    </row>
    <row r="177" spans="1:12">
      <c r="A177" s="1"/>
      <c r="B177" s="7"/>
      <c r="C177" s="7"/>
      <c r="D177" s="16"/>
      <c r="E177" s="9"/>
      <c r="F177" s="16"/>
      <c r="G177" s="40"/>
      <c r="H177" s="16"/>
      <c r="I177" s="16"/>
      <c r="L177" s="16"/>
    </row>
    <row r="178" spans="1:12">
      <c r="A178" s="2" t="s">
        <v>3626</v>
      </c>
      <c r="B178" s="7"/>
      <c r="C178" s="7"/>
      <c r="D178" s="16"/>
      <c r="E178" s="9"/>
      <c r="F178" s="16"/>
      <c r="G178" s="40"/>
      <c r="H178" s="16"/>
      <c r="I178" s="16"/>
      <c r="L178" s="16"/>
    </row>
    <row r="179" spans="1:12">
      <c r="A179" s="1" t="s">
        <v>3627</v>
      </c>
      <c r="B179" s="7">
        <v>58.47</v>
      </c>
      <c r="C179" s="7">
        <v>58.47</v>
      </c>
      <c r="D179" s="16">
        <f>(C179-B179)/B179</f>
        <v>0</v>
      </c>
      <c r="E179" s="9"/>
      <c r="F179" s="16"/>
      <c r="G179" s="40"/>
      <c r="H179" s="16"/>
      <c r="I179" s="16"/>
      <c r="L179" s="16"/>
    </row>
    <row r="180" spans="1:12">
      <c r="A180" s="1" t="s">
        <v>3628</v>
      </c>
      <c r="B180" s="7">
        <v>62.05</v>
      </c>
      <c r="C180" s="7">
        <v>62.05</v>
      </c>
      <c r="D180" s="16">
        <f>(C180-B180)/B180</f>
        <v>0</v>
      </c>
      <c r="E180" s="9"/>
      <c r="F180" s="16"/>
      <c r="G180" s="40"/>
      <c r="H180" s="16"/>
      <c r="I180" s="16"/>
      <c r="L180" s="16"/>
    </row>
    <row r="181" spans="1:12">
      <c r="A181" s="143"/>
      <c r="B181" s="143"/>
      <c r="C181" s="7"/>
      <c r="D181" s="16"/>
      <c r="E181" s="9"/>
      <c r="F181" s="16"/>
      <c r="G181" s="40"/>
      <c r="H181" s="16"/>
      <c r="I181" s="16"/>
      <c r="L181" s="16"/>
    </row>
    <row r="182" spans="1:12" ht="38.25">
      <c r="A182" s="2" t="s">
        <v>3874</v>
      </c>
      <c r="B182" s="12" t="s">
        <v>3510</v>
      </c>
      <c r="C182" s="31" t="s">
        <v>3480</v>
      </c>
      <c r="D182" s="43"/>
      <c r="E182" s="44"/>
      <c r="F182" s="43"/>
      <c r="G182" s="23" t="s">
        <v>3983</v>
      </c>
      <c r="H182" s="43">
        <f>AVERAGE(F183)</f>
        <v>-1.4735052422782545E-2</v>
      </c>
      <c r="I182" s="43"/>
      <c r="J182" s="8"/>
      <c r="K182" s="8"/>
      <c r="L182" s="43"/>
    </row>
    <row r="183" spans="1:12">
      <c r="A183" s="1" t="s">
        <v>3694</v>
      </c>
      <c r="B183" s="7">
        <v>34.270000000000003</v>
      </c>
      <c r="C183" s="7">
        <v>34.770000000000003</v>
      </c>
      <c r="D183" s="16">
        <f>(C183-B183)/B183</f>
        <v>1.4590020426028595E-2</v>
      </c>
      <c r="E183" s="9">
        <v>35.29</v>
      </c>
      <c r="F183" s="16">
        <f>(C183-E183)/E183</f>
        <v>-1.4735052422782545E-2</v>
      </c>
      <c r="G183" s="40"/>
      <c r="H183" s="16"/>
      <c r="I183" s="16"/>
      <c r="L183" s="16"/>
    </row>
    <row r="184" spans="1:12">
      <c r="A184" s="1"/>
      <c r="B184" s="7"/>
      <c r="C184" s="7"/>
      <c r="D184" s="16"/>
      <c r="E184" s="9"/>
      <c r="F184" s="16"/>
      <c r="G184" s="40"/>
      <c r="H184" s="16"/>
      <c r="I184" s="16"/>
      <c r="L184" s="16"/>
    </row>
    <row r="185" spans="1:12">
      <c r="A185" s="2" t="s">
        <v>3632</v>
      </c>
      <c r="B185" s="11" t="s">
        <v>3534</v>
      </c>
      <c r="C185" s="33" t="s">
        <v>3534</v>
      </c>
      <c r="D185" s="43"/>
      <c r="E185" s="44"/>
      <c r="F185" s="43"/>
      <c r="G185" s="23" t="s">
        <v>3984</v>
      </c>
      <c r="H185" s="43"/>
      <c r="I185" s="43">
        <f>AVERAGE(F186:F188)</f>
        <v>-0.14872798434442266</v>
      </c>
      <c r="J185" s="8"/>
      <c r="K185" s="8"/>
      <c r="L185" s="43"/>
    </row>
    <row r="186" spans="1:12">
      <c r="A186" s="1" t="s">
        <v>3876</v>
      </c>
      <c r="B186" s="7">
        <v>45.2</v>
      </c>
      <c r="C186" s="7">
        <v>26.1</v>
      </c>
      <c r="D186" s="16">
        <f>(C186-B186)/B186</f>
        <v>-0.42256637168141592</v>
      </c>
      <c r="E186" s="9">
        <v>30.66</v>
      </c>
      <c r="F186" s="16">
        <f>(C186-E186)/E186</f>
        <v>-0.14872798434442266</v>
      </c>
      <c r="G186" s="40"/>
      <c r="H186" s="16"/>
      <c r="I186" s="16"/>
      <c r="L186" s="16"/>
    </row>
    <row r="187" spans="1:12">
      <c r="A187" s="1" t="s">
        <v>3955</v>
      </c>
      <c r="B187" s="7">
        <v>48.16</v>
      </c>
      <c r="C187" s="7">
        <v>26.1</v>
      </c>
      <c r="D187" s="16">
        <f>(C187-B187)/B187</f>
        <v>-0.45805647840531555</v>
      </c>
      <c r="E187" s="9">
        <v>30.66</v>
      </c>
      <c r="F187" s="16">
        <f>(C187-E187)/E187</f>
        <v>-0.14872798434442266</v>
      </c>
      <c r="G187" s="40"/>
      <c r="H187" s="16"/>
      <c r="I187" s="16"/>
      <c r="L187" s="16"/>
    </row>
    <row r="188" spans="1:12" ht="25.5">
      <c r="A188" s="1" t="s">
        <v>3956</v>
      </c>
      <c r="B188" s="7">
        <v>51.12</v>
      </c>
      <c r="C188" s="7">
        <v>26.1</v>
      </c>
      <c r="D188" s="16">
        <f>(C188-B188)/B188</f>
        <v>-0.48943661971830982</v>
      </c>
      <c r="E188" s="9">
        <v>30.66</v>
      </c>
      <c r="F188" s="16">
        <f>(C188-E188)/E188</f>
        <v>-0.14872798434442266</v>
      </c>
      <c r="G188" s="40"/>
      <c r="H188" s="16"/>
      <c r="I188" s="16"/>
      <c r="L188" s="16"/>
    </row>
    <row r="189" spans="1:12">
      <c r="A189" s="1"/>
      <c r="B189" s="7"/>
      <c r="C189" s="7"/>
      <c r="D189" s="16"/>
      <c r="E189" s="9"/>
      <c r="F189" s="16"/>
      <c r="G189" s="40"/>
      <c r="H189" s="16"/>
      <c r="I189" s="16"/>
      <c r="L189" s="16"/>
    </row>
    <row r="190" spans="1:12">
      <c r="A190" s="2" t="s">
        <v>3636</v>
      </c>
      <c r="B190" s="11" t="s">
        <v>3534</v>
      </c>
      <c r="C190" s="31" t="s">
        <v>3483</v>
      </c>
      <c r="D190" s="43"/>
      <c r="E190" s="44"/>
      <c r="F190" s="43"/>
      <c r="G190" s="23" t="s">
        <v>3984</v>
      </c>
      <c r="H190" s="43"/>
      <c r="I190" s="43">
        <f>AVERAGE(F191)</f>
        <v>0</v>
      </c>
      <c r="J190" s="8"/>
      <c r="K190" s="8"/>
      <c r="L190" s="43"/>
    </row>
    <row r="191" spans="1:12">
      <c r="A191" s="1" t="s">
        <v>3913</v>
      </c>
      <c r="B191" s="7">
        <v>27.55</v>
      </c>
      <c r="C191" s="7">
        <v>29.4</v>
      </c>
      <c r="D191" s="16">
        <f>(C191-B191)/B191</f>
        <v>6.7150635208711354E-2</v>
      </c>
      <c r="E191" s="9">
        <v>29.4</v>
      </c>
      <c r="F191" s="16">
        <f>(C191-E191)/E191</f>
        <v>0</v>
      </c>
      <c r="G191" s="40"/>
      <c r="H191" s="16"/>
      <c r="I191" s="16"/>
      <c r="L191" s="16"/>
    </row>
    <row r="192" spans="1:12">
      <c r="A192" s="1"/>
      <c r="B192" s="7"/>
      <c r="C192" s="7"/>
      <c r="D192" s="16"/>
      <c r="E192" s="9"/>
      <c r="F192" s="16"/>
      <c r="G192" s="40"/>
      <c r="H192" s="16"/>
      <c r="I192" s="16"/>
      <c r="L192" s="16"/>
    </row>
    <row r="193" spans="1:12">
      <c r="A193" s="2" t="s">
        <v>3879</v>
      </c>
      <c r="B193" s="7"/>
      <c r="C193" s="31" t="s">
        <v>3483</v>
      </c>
      <c r="D193" s="43"/>
      <c r="E193" s="44"/>
      <c r="F193" s="43"/>
      <c r="G193" s="23" t="s">
        <v>3984</v>
      </c>
      <c r="H193" s="43"/>
      <c r="I193" s="43">
        <f>AVERAGE(F195)</f>
        <v>0</v>
      </c>
      <c r="J193" s="8"/>
      <c r="K193" s="8"/>
      <c r="L193" s="43"/>
    </row>
    <row r="194" spans="1:12" ht="25.5">
      <c r="A194" s="1" t="s">
        <v>3880</v>
      </c>
      <c r="B194" s="7"/>
      <c r="C194" s="7"/>
      <c r="D194" s="16"/>
      <c r="E194" s="9"/>
      <c r="F194" s="16"/>
      <c r="G194" s="40"/>
      <c r="H194" s="16"/>
      <c r="I194" s="16"/>
      <c r="L194" s="16"/>
    </row>
    <row r="195" spans="1:12">
      <c r="A195" s="1" t="s">
        <v>3915</v>
      </c>
      <c r="B195" s="7">
        <v>20.48</v>
      </c>
      <c r="C195" s="7">
        <v>21.95</v>
      </c>
      <c r="D195" s="16">
        <f>(C195-B195)/B195</f>
        <v>7.1777343749999944E-2</v>
      </c>
      <c r="E195" s="9">
        <v>21.95</v>
      </c>
      <c r="F195" s="16">
        <f>(C195-E195)/E195</f>
        <v>0</v>
      </c>
      <c r="G195" s="40"/>
      <c r="H195" s="16"/>
      <c r="I195" s="16"/>
      <c r="L195" s="16"/>
    </row>
    <row r="196" spans="1:12">
      <c r="A196" s="1"/>
      <c r="B196" s="7"/>
      <c r="C196" s="7"/>
      <c r="D196" s="16"/>
      <c r="E196" s="9"/>
      <c r="F196" s="16"/>
      <c r="G196" s="40"/>
      <c r="H196" s="16"/>
      <c r="I196" s="16"/>
      <c r="L196" s="16"/>
    </row>
    <row r="197" spans="1:12" ht="38.25">
      <c r="A197" s="2" t="s">
        <v>3640</v>
      </c>
      <c r="B197" s="12" t="s">
        <v>3510</v>
      </c>
      <c r="C197" s="31" t="s">
        <v>3483</v>
      </c>
      <c r="D197" s="43"/>
      <c r="E197" s="44"/>
      <c r="F197" s="43"/>
      <c r="G197" s="23" t="s">
        <v>3983</v>
      </c>
      <c r="H197" s="43">
        <f>AVERAGE(F198:F200)</f>
        <v>0.10169128666238493</v>
      </c>
      <c r="I197" s="43"/>
      <c r="J197" s="8"/>
      <c r="K197" s="8"/>
      <c r="L197" s="43"/>
    </row>
    <row r="198" spans="1:12">
      <c r="A198" s="1" t="s">
        <v>3934</v>
      </c>
      <c r="B198" s="7">
        <v>46.6</v>
      </c>
      <c r="C198" s="7">
        <v>48.35</v>
      </c>
      <c r="D198" s="16">
        <f>(C198-B198)/B198</f>
        <v>3.7553648068669523E-2</v>
      </c>
      <c r="E198" s="9">
        <v>46.71</v>
      </c>
      <c r="F198" s="16">
        <f>(C198-E198)/E198</f>
        <v>3.5110254763433962E-2</v>
      </c>
      <c r="G198" s="40"/>
      <c r="H198" s="16"/>
      <c r="I198" s="16"/>
      <c r="L198" s="16"/>
    </row>
    <row r="199" spans="1:12">
      <c r="A199" s="1" t="s">
        <v>3935</v>
      </c>
      <c r="B199" s="7">
        <v>49.62</v>
      </c>
      <c r="C199" s="7">
        <v>51.46</v>
      </c>
      <c r="D199" s="16">
        <f>(C199-B199)/B199</f>
        <v>3.70818218460299E-2</v>
      </c>
      <c r="E199" s="9">
        <v>46.71</v>
      </c>
      <c r="F199" s="16">
        <f>(C199-E199)/E199</f>
        <v>0.10169128666238493</v>
      </c>
      <c r="G199" s="40"/>
      <c r="H199" s="16"/>
      <c r="I199" s="16"/>
      <c r="L199" s="16"/>
    </row>
    <row r="200" spans="1:12" ht="25.5">
      <c r="A200" s="1" t="s">
        <v>3936</v>
      </c>
      <c r="B200" s="7">
        <v>52.64</v>
      </c>
      <c r="C200" s="7">
        <v>54.57</v>
      </c>
      <c r="D200" s="16">
        <f>(C200-B200)/B200</f>
        <v>3.666413373860182E-2</v>
      </c>
      <c r="E200" s="9">
        <v>46.71</v>
      </c>
      <c r="F200" s="16">
        <f>(C200-E200)/E200</f>
        <v>0.1682723185613359</v>
      </c>
      <c r="G200" s="40"/>
      <c r="H200" s="16"/>
      <c r="I200" s="16"/>
      <c r="L200" s="16"/>
    </row>
    <row r="201" spans="1:12">
      <c r="A201" s="1"/>
      <c r="B201" s="7"/>
      <c r="C201" s="7"/>
      <c r="D201" s="16"/>
      <c r="E201" s="9"/>
      <c r="F201" s="16"/>
      <c r="G201" s="40"/>
      <c r="H201" s="16"/>
      <c r="I201" s="16"/>
      <c r="L201" s="16"/>
    </row>
    <row r="202" spans="1:12">
      <c r="A202" s="2" t="s">
        <v>3644</v>
      </c>
      <c r="B202" s="11" t="s">
        <v>3534</v>
      </c>
      <c r="C202" s="31" t="s">
        <v>3483</v>
      </c>
      <c r="D202" s="43"/>
      <c r="E202" s="44"/>
      <c r="F202" s="43"/>
      <c r="G202" s="23" t="s">
        <v>3983</v>
      </c>
      <c r="H202" s="43">
        <f>AVERAGE(F203:F205)</f>
        <v>0.11977084998667741</v>
      </c>
      <c r="I202" s="43"/>
      <c r="J202" s="8"/>
      <c r="K202" s="8"/>
      <c r="L202" s="43"/>
    </row>
    <row r="203" spans="1:12">
      <c r="A203" s="1" t="s">
        <v>3960</v>
      </c>
      <c r="B203" s="7">
        <v>26</v>
      </c>
      <c r="C203" s="7">
        <v>53.45</v>
      </c>
      <c r="D203" s="16">
        <f>(C203-B203)/B203</f>
        <v>1.0557692307692308</v>
      </c>
      <c r="E203" s="9">
        <v>50.04</v>
      </c>
      <c r="F203" s="16">
        <f>(C203-E203)/E203</f>
        <v>6.8145483613109584E-2</v>
      </c>
      <c r="G203" s="40"/>
      <c r="H203" s="16"/>
      <c r="I203" s="16"/>
      <c r="L203" s="16"/>
    </row>
    <row r="204" spans="1:12">
      <c r="A204" s="1" t="s">
        <v>3961</v>
      </c>
      <c r="B204" s="7">
        <v>26</v>
      </c>
      <c r="C204" s="7">
        <v>56.2</v>
      </c>
      <c r="D204" s="16">
        <f>(C204-B204)/B204</f>
        <v>1.1615384615384616</v>
      </c>
      <c r="E204" s="9">
        <v>50.04</v>
      </c>
      <c r="F204" s="16">
        <f>(C204-E204)/E204</f>
        <v>0.12310151878497209</v>
      </c>
      <c r="G204" s="40"/>
      <c r="H204" s="16"/>
      <c r="I204" s="16"/>
      <c r="L204" s="16"/>
    </row>
    <row r="205" spans="1:12">
      <c r="A205" s="1" t="s">
        <v>3962</v>
      </c>
      <c r="B205" s="7">
        <v>26</v>
      </c>
      <c r="C205" s="7">
        <v>58.45</v>
      </c>
      <c r="D205" s="16">
        <f>(C205-B205)/B205</f>
        <v>1.2480769230769231</v>
      </c>
      <c r="E205" s="9">
        <v>50.04</v>
      </c>
      <c r="F205" s="16">
        <f>(C205-E205)/E205</f>
        <v>0.16806554756195052</v>
      </c>
      <c r="G205" s="40"/>
      <c r="H205" s="16"/>
      <c r="I205" s="16"/>
      <c r="L205" s="16"/>
    </row>
    <row r="206" spans="1:12">
      <c r="A206" s="1"/>
      <c r="B206" s="7"/>
      <c r="C206" s="7"/>
      <c r="D206" s="16"/>
      <c r="E206" s="9"/>
      <c r="F206" s="16"/>
      <c r="G206" s="40"/>
      <c r="H206" s="16"/>
      <c r="I206" s="16"/>
      <c r="L206" s="16"/>
    </row>
    <row r="207" spans="1:12">
      <c r="A207" s="1"/>
      <c r="B207" s="7"/>
      <c r="C207" s="7"/>
      <c r="D207" s="16"/>
      <c r="E207" s="9"/>
      <c r="F207" s="16"/>
      <c r="G207" s="40"/>
      <c r="H207" s="16"/>
      <c r="I207" s="16"/>
      <c r="L207" s="16"/>
    </row>
    <row r="208" spans="1:12">
      <c r="A208" s="2" t="s">
        <v>3648</v>
      </c>
      <c r="B208" s="7"/>
      <c r="C208" s="31"/>
      <c r="D208" s="43"/>
      <c r="E208" s="44"/>
      <c r="F208" s="43"/>
      <c r="G208" s="23" t="s">
        <v>3984</v>
      </c>
      <c r="H208" s="43"/>
      <c r="I208" s="43">
        <f>AVERAGE(F209)</f>
        <v>0</v>
      </c>
      <c r="J208" s="8"/>
      <c r="K208" s="8"/>
      <c r="L208" s="43"/>
    </row>
    <row r="209" spans="1:12">
      <c r="A209" s="1" t="s">
        <v>3650</v>
      </c>
      <c r="B209" s="7">
        <v>42.14</v>
      </c>
      <c r="C209" s="7">
        <v>46.09</v>
      </c>
      <c r="D209" s="16">
        <f>(C209-B209)/B209</f>
        <v>9.3735168485999124E-2</v>
      </c>
      <c r="E209" s="9">
        <v>46.09</v>
      </c>
      <c r="F209" s="16">
        <f>(C209-E209)/E209</f>
        <v>0</v>
      </c>
      <c r="G209" s="40"/>
      <c r="H209" s="16"/>
      <c r="I209" s="16"/>
      <c r="L209" s="16"/>
    </row>
    <row r="210" spans="1:12">
      <c r="A210" s="1"/>
      <c r="B210" s="7"/>
      <c r="C210" s="7"/>
      <c r="D210" s="16"/>
      <c r="E210" s="9"/>
      <c r="F210" s="16"/>
      <c r="G210" s="40"/>
      <c r="H210" s="16"/>
      <c r="I210" s="16"/>
      <c r="L210" s="16"/>
    </row>
    <row r="211" spans="1:12">
      <c r="A211" s="2" t="s">
        <v>3651</v>
      </c>
      <c r="B211" s="11" t="s">
        <v>3534</v>
      </c>
      <c r="C211" s="31" t="s">
        <v>3483</v>
      </c>
      <c r="D211" s="43"/>
      <c r="E211" s="44"/>
      <c r="F211" s="43"/>
      <c r="G211" s="23" t="s">
        <v>3983</v>
      </c>
      <c r="H211" s="43">
        <f>AVERAGE(F212)</f>
        <v>-0.14775663612872914</v>
      </c>
      <c r="I211" s="43"/>
      <c r="J211" s="8"/>
      <c r="K211" s="8"/>
      <c r="L211" s="43"/>
    </row>
    <row r="212" spans="1:12">
      <c r="A212" s="1" t="s">
        <v>3652</v>
      </c>
      <c r="B212" s="7">
        <v>35.49</v>
      </c>
      <c r="C212" s="7">
        <v>36.28</v>
      </c>
      <c r="D212" s="16">
        <f>(C212-B212)/B212</f>
        <v>2.2259791490560697E-2</v>
      </c>
      <c r="E212" s="9">
        <v>42.57</v>
      </c>
      <c r="F212" s="16">
        <f>(C212-E212)/E212</f>
        <v>-0.14775663612872914</v>
      </c>
      <c r="G212" s="40"/>
      <c r="H212" s="16"/>
      <c r="I212" s="16"/>
      <c r="L212" s="16"/>
    </row>
    <row r="213" spans="1:12">
      <c r="A213" s="1"/>
      <c r="B213" s="7"/>
      <c r="C213" s="7"/>
      <c r="D213" s="16"/>
      <c r="E213" s="9"/>
      <c r="F213" s="16"/>
      <c r="G213" s="40"/>
      <c r="H213" s="16"/>
      <c r="I213" s="16"/>
      <c r="L213" s="16"/>
    </row>
    <row r="214" spans="1:12" ht="38.25">
      <c r="A214" s="2" t="s">
        <v>3655</v>
      </c>
      <c r="B214" s="12" t="s">
        <v>3754</v>
      </c>
      <c r="C214" s="31" t="s">
        <v>3997</v>
      </c>
      <c r="D214" s="43"/>
      <c r="E214" s="44"/>
      <c r="F214" s="43"/>
      <c r="G214" s="23" t="s">
        <v>3983</v>
      </c>
      <c r="H214" s="43">
        <f>AVERAGE(F215)</f>
        <v>1.0195758564437194E-2</v>
      </c>
      <c r="I214" s="43"/>
      <c r="J214" s="8"/>
      <c r="K214" s="8"/>
      <c r="L214" s="43"/>
    </row>
    <row r="215" spans="1:12">
      <c r="A215" s="1" t="s">
        <v>3654</v>
      </c>
      <c r="B215" s="7">
        <v>19</v>
      </c>
      <c r="C215" s="7">
        <v>24.77</v>
      </c>
      <c r="D215" s="16">
        <f>(C215-B215)/B215</f>
        <v>0.30368421052631578</v>
      </c>
      <c r="E215" s="9">
        <v>24.52</v>
      </c>
      <c r="F215" s="16">
        <f>(C215-E215)/E215</f>
        <v>1.0195758564437194E-2</v>
      </c>
      <c r="G215" s="40"/>
      <c r="H215" s="16"/>
      <c r="I215" s="16"/>
      <c r="L215" s="16"/>
    </row>
    <row r="216" spans="1:12" ht="25.5">
      <c r="A216" s="1" t="s">
        <v>3699</v>
      </c>
      <c r="B216" s="7">
        <v>25</v>
      </c>
      <c r="C216" s="7">
        <v>34.369999999999997</v>
      </c>
      <c r="D216" s="16">
        <f>(C216-B216)/B216</f>
        <v>0.37479999999999991</v>
      </c>
      <c r="E216" s="9">
        <v>33.32</v>
      </c>
      <c r="F216" s="16">
        <f>(C216-E216)/E216</f>
        <v>3.1512605042016723E-2</v>
      </c>
      <c r="G216" s="23" t="s">
        <v>3983</v>
      </c>
      <c r="H216" s="43">
        <f>AVERAGE(F216)</f>
        <v>3.1512605042016723E-2</v>
      </c>
      <c r="I216" s="16"/>
      <c r="L216" s="16"/>
    </row>
    <row r="217" spans="1:12">
      <c r="A217" s="1"/>
      <c r="B217" s="7"/>
      <c r="C217" s="7"/>
      <c r="D217" s="16"/>
      <c r="E217" s="9"/>
      <c r="F217" s="16"/>
      <c r="G217" s="40"/>
      <c r="H217" s="16"/>
      <c r="I217" s="16"/>
      <c r="L217" s="16"/>
    </row>
    <row r="218" spans="1:12" ht="51">
      <c r="A218" s="2" t="s">
        <v>3662</v>
      </c>
      <c r="B218" s="12" t="s">
        <v>3959</v>
      </c>
      <c r="C218" s="12" t="s">
        <v>3959</v>
      </c>
      <c r="D218" s="43"/>
      <c r="E218" s="44"/>
      <c r="F218" s="43"/>
      <c r="G218" s="23"/>
      <c r="H218" s="43"/>
      <c r="I218" s="43"/>
      <c r="J218" s="8"/>
      <c r="K218" s="8"/>
      <c r="L218" s="43"/>
    </row>
    <row r="219" spans="1:12">
      <c r="A219" s="1" t="s">
        <v>3663</v>
      </c>
      <c r="B219" s="7">
        <v>30.82</v>
      </c>
      <c r="C219" s="7">
        <v>30.82</v>
      </c>
      <c r="D219" s="16">
        <f>(C219-B219)/B219</f>
        <v>0</v>
      </c>
      <c r="E219" s="9"/>
      <c r="F219" s="16"/>
      <c r="G219" s="40"/>
      <c r="H219" s="16"/>
      <c r="I219" s="16"/>
      <c r="L219" s="16"/>
    </row>
    <row r="220" spans="1:12">
      <c r="A220" s="143"/>
      <c r="B220" s="143"/>
      <c r="C220" s="7"/>
      <c r="D220" s="16"/>
      <c r="E220" s="9"/>
      <c r="F220" s="16"/>
      <c r="G220" s="40"/>
      <c r="H220" s="16"/>
      <c r="I220" s="16"/>
      <c r="L220" s="16"/>
    </row>
    <row r="221" spans="1:12">
      <c r="A221" s="2" t="s">
        <v>3664</v>
      </c>
      <c r="B221" s="7"/>
      <c r="C221" s="31" t="s">
        <v>3483</v>
      </c>
      <c r="D221" s="43"/>
      <c r="E221" s="44"/>
      <c r="F221" s="43"/>
      <c r="G221" s="23" t="s">
        <v>3984</v>
      </c>
      <c r="H221" s="43"/>
      <c r="I221" s="43">
        <f>AVERAGE(F222)</f>
        <v>0</v>
      </c>
      <c r="J221" s="8"/>
      <c r="K221" s="8"/>
      <c r="L221" s="43"/>
    </row>
    <row r="222" spans="1:12">
      <c r="A222" s="1" t="s">
        <v>3665</v>
      </c>
      <c r="B222" s="7">
        <v>20.8</v>
      </c>
      <c r="C222" s="7">
        <v>20.8</v>
      </c>
      <c r="D222" s="16">
        <f>(C222-B222)/B222</f>
        <v>0</v>
      </c>
      <c r="E222" s="9">
        <v>20.8</v>
      </c>
      <c r="F222" s="16">
        <f>(C222-E222)/E222</f>
        <v>0</v>
      </c>
      <c r="G222" s="40"/>
      <c r="H222" s="16"/>
      <c r="I222" s="16"/>
      <c r="L222" s="16"/>
    </row>
    <row r="223" spans="1:12">
      <c r="A223" s="1"/>
      <c r="B223" s="7"/>
      <c r="C223" s="7"/>
      <c r="D223" s="16"/>
      <c r="E223" s="9"/>
      <c r="F223" s="16"/>
      <c r="G223" s="40"/>
      <c r="H223" s="16"/>
      <c r="I223" s="16"/>
      <c r="L223" s="16"/>
    </row>
    <row r="224" spans="1:12">
      <c r="A224" s="2" t="s">
        <v>3666</v>
      </c>
      <c r="B224" s="7"/>
      <c r="C224" s="31" t="s">
        <v>3481</v>
      </c>
      <c r="D224" s="43"/>
      <c r="E224" s="44"/>
      <c r="F224" s="43"/>
      <c r="G224" s="23" t="s">
        <v>3984</v>
      </c>
      <c r="H224" s="43"/>
      <c r="I224" s="43">
        <f>AVERAGE(F225)</f>
        <v>0</v>
      </c>
      <c r="J224" s="8"/>
      <c r="K224" s="8"/>
      <c r="L224" s="43"/>
    </row>
    <row r="225" spans="1:12">
      <c r="A225" s="1" t="s">
        <v>3667</v>
      </c>
      <c r="B225" s="7">
        <v>31.49</v>
      </c>
      <c r="C225" s="7">
        <v>54.49</v>
      </c>
      <c r="D225" s="16">
        <f>(C225-B225)/B225</f>
        <v>0.73039060019053681</v>
      </c>
      <c r="E225" s="9">
        <v>54.49</v>
      </c>
      <c r="F225" s="16">
        <f>(C225-E225)/E225</f>
        <v>0</v>
      </c>
      <c r="G225" s="40"/>
      <c r="H225" s="16"/>
      <c r="I225" s="16"/>
      <c r="L225" s="16"/>
    </row>
    <row r="226" spans="1:12">
      <c r="A226" s="1"/>
      <c r="B226" s="7"/>
      <c r="C226" s="7"/>
      <c r="D226" s="16"/>
      <c r="E226" s="9"/>
      <c r="F226" s="16"/>
      <c r="G226" s="40"/>
      <c r="H226" s="16"/>
      <c r="I226" s="16"/>
      <c r="L226" s="16"/>
    </row>
    <row r="227" spans="1:12" ht="63.75">
      <c r="A227" s="2" t="s">
        <v>3668</v>
      </c>
      <c r="B227" s="12" t="s">
        <v>3649</v>
      </c>
      <c r="C227" s="31" t="s">
        <v>3483</v>
      </c>
      <c r="D227" s="43"/>
      <c r="E227" s="44"/>
      <c r="F227" s="43"/>
      <c r="G227" s="23" t="s">
        <v>3983</v>
      </c>
      <c r="H227" s="43">
        <f>AVERAGE(F228)</f>
        <v>2.1562766865926515E-2</v>
      </c>
      <c r="I227" s="43"/>
      <c r="J227" s="8"/>
      <c r="K227" s="8"/>
      <c r="L227" s="43"/>
    </row>
    <row r="228" spans="1:12" ht="25.5">
      <c r="A228" s="1" t="s">
        <v>3670</v>
      </c>
      <c r="B228" s="7">
        <v>46.1</v>
      </c>
      <c r="C228" s="7">
        <v>47.85</v>
      </c>
      <c r="D228" s="16">
        <f>(C228-B228)/B228</f>
        <v>3.7960954446854663E-2</v>
      </c>
      <c r="E228" s="9">
        <v>46.84</v>
      </c>
      <c r="F228" s="16">
        <f>(C228-E228)/E228</f>
        <v>2.1562766865926515E-2</v>
      </c>
      <c r="G228" s="40"/>
      <c r="H228" s="16"/>
      <c r="I228" s="16"/>
      <c r="L228" s="16"/>
    </row>
    <row r="229" spans="1:12">
      <c r="A229" s="1"/>
      <c r="B229" s="7"/>
      <c r="C229" s="7"/>
      <c r="D229" s="16"/>
      <c r="E229" s="9"/>
      <c r="F229" s="16"/>
      <c r="G229" s="40"/>
      <c r="H229" s="16"/>
      <c r="I229" s="16"/>
      <c r="L229" s="16"/>
    </row>
    <row r="230" spans="1:12">
      <c r="A230" s="2" t="s">
        <v>3671</v>
      </c>
      <c r="B230" s="7"/>
      <c r="C230" s="31" t="s">
        <v>3487</v>
      </c>
      <c r="D230" s="43"/>
      <c r="E230" s="44"/>
      <c r="F230" s="43"/>
      <c r="G230" s="23" t="s">
        <v>3983</v>
      </c>
      <c r="H230" s="43">
        <f>AVERAGE(F231:F234)</f>
        <v>-2.9934847684451788E-3</v>
      </c>
      <c r="I230" s="43"/>
      <c r="J230" s="8"/>
      <c r="K230" s="8"/>
      <c r="L230" s="43"/>
    </row>
    <row r="231" spans="1:12">
      <c r="A231" s="1" t="s">
        <v>3672</v>
      </c>
      <c r="B231" s="7">
        <v>44.14</v>
      </c>
      <c r="C231" s="7">
        <v>56.62</v>
      </c>
      <c r="D231" s="16">
        <f>(C231-B231)/B231</f>
        <v>0.28273674671499766</v>
      </c>
      <c r="E231" s="9">
        <v>56.79</v>
      </c>
      <c r="F231" s="16">
        <f>(C231-E231)/E231</f>
        <v>-2.9934847684451788E-3</v>
      </c>
      <c r="G231" s="40"/>
      <c r="H231" s="16"/>
      <c r="I231" s="16"/>
      <c r="L231" s="16"/>
    </row>
    <row r="232" spans="1:12">
      <c r="A232" s="1"/>
      <c r="B232" s="7"/>
      <c r="C232" s="7"/>
      <c r="D232" s="16"/>
      <c r="E232" s="9"/>
      <c r="F232" s="16"/>
      <c r="G232" s="40"/>
      <c r="H232" s="16"/>
      <c r="I232" s="16"/>
      <c r="L232" s="16"/>
    </row>
    <row r="233" spans="1:12">
      <c r="A233" s="2" t="s">
        <v>3673</v>
      </c>
      <c r="B233" s="7"/>
      <c r="C233" s="31" t="s">
        <v>3487</v>
      </c>
      <c r="D233" s="43"/>
      <c r="E233" s="44"/>
      <c r="F233" s="43"/>
      <c r="G233" s="8"/>
      <c r="H233" s="43"/>
      <c r="I233" s="43"/>
      <c r="J233" s="8"/>
      <c r="K233" s="8"/>
      <c r="L233" s="43"/>
    </row>
    <row r="234" spans="1:12">
      <c r="A234" s="1" t="s">
        <v>3674</v>
      </c>
      <c r="B234" s="7">
        <v>44.14</v>
      </c>
      <c r="C234" s="7">
        <v>56.62</v>
      </c>
      <c r="D234" s="16">
        <f>(C234-B234)/B234</f>
        <v>0.28273674671499766</v>
      </c>
      <c r="E234" s="9">
        <v>56.79</v>
      </c>
      <c r="F234" s="16">
        <f>(C234-E234)/E234</f>
        <v>-2.9934847684451788E-3</v>
      </c>
      <c r="G234" s="40"/>
      <c r="H234" s="16"/>
      <c r="I234" s="16"/>
      <c r="L234" s="16"/>
    </row>
    <row r="237" spans="1:12">
      <c r="A237" s="8" t="s">
        <v>3988</v>
      </c>
      <c r="B237" s="7"/>
      <c r="D237" s="16"/>
      <c r="E237" s="40"/>
    </row>
    <row r="238" spans="1:12">
      <c r="A238" s="1" t="s">
        <v>3986</v>
      </c>
      <c r="B238" s="7"/>
      <c r="D238" s="16"/>
      <c r="G238" s="40">
        <f>COUNTIF(G4:G235,"Y")</f>
        <v>27</v>
      </c>
    </row>
    <row r="239" spans="1:12">
      <c r="A239" s="1" t="s">
        <v>3987</v>
      </c>
      <c r="B239" s="7"/>
      <c r="D239" s="16"/>
      <c r="G239" s="41">
        <f>COUNTIF(G4:G235,"N")</f>
        <v>11</v>
      </c>
    </row>
    <row r="240" spans="1:12">
      <c r="A240" s="8" t="s">
        <v>3985</v>
      </c>
      <c r="B240"/>
      <c r="D240" s="16"/>
      <c r="G240" s="23">
        <f>SUM(G238:G239)</f>
        <v>38</v>
      </c>
    </row>
  </sheetData>
  <mergeCells count="18">
    <mergeCell ref="A165:B165"/>
    <mergeCell ref="A181:B181"/>
    <mergeCell ref="A220:B220"/>
    <mergeCell ref="A107:B107"/>
    <mergeCell ref="B108:B109"/>
    <mergeCell ref="A128:B128"/>
    <mergeCell ref="B129:B130"/>
    <mergeCell ref="C108:C109"/>
    <mergeCell ref="C129:C130"/>
    <mergeCell ref="C146:C147"/>
    <mergeCell ref="A27:B27"/>
    <mergeCell ref="A33:B33"/>
    <mergeCell ref="A68:B68"/>
    <mergeCell ref="A72:B72"/>
    <mergeCell ref="A82:B82"/>
    <mergeCell ref="A99:B99"/>
    <mergeCell ref="A104:B104"/>
    <mergeCell ref="B146:B147"/>
  </mergeCells>
  <phoneticPr fontId="2" type="noConversion"/>
  <hyperlinks>
    <hyperlink ref="A1" r:id="rId1" display="http://www.laborcommissioner.com/10rates/mineral.html"/>
    <hyperlink ref="B15" location="BRICK ZONE 07" display="BRICK ZONE 07"/>
    <hyperlink ref="B20" location="Carp" display="Carp"/>
    <hyperlink ref="B56" location="laborer zone" display="laborer zone"/>
    <hyperlink ref="B66" location="laborer zone" display="laborer zone"/>
    <hyperlink ref="B69" location="Hod Brick Zone" display="Hod Brick Zone"/>
    <hyperlink ref="B73" location="Hod Plaster Zone" display="Hod Plaster Zone"/>
    <hyperlink ref="B78" r:id="rId2" display="http://www.laborcommissioner.com/10rates/2010 Amendments/2010Amendment1.htm"/>
    <hyperlink ref="B83" location="LABORER NORTH 08" display="LABORER NORTH 08"/>
    <hyperlink ref="A84" location="LABORER GROUP" display="LABORER GROUP"/>
    <hyperlink ref="B100" r:id="rId3" display="http://www.laborcommissioner.com/10rates/2010 Amendments/2010Amendment2.htm"/>
    <hyperlink ref="A109" location="OP GROUPS" display="OP GROUPS"/>
    <hyperlink ref="B108" location="OP ZONE" display="OP ZONE"/>
    <hyperlink ref="A130" location="OP GROUP  STEEL" display="OP GROUP  STEEL"/>
    <hyperlink ref="B129" location="OP ZONE" display="OP ZONE"/>
    <hyperlink ref="A147" location="OP GROUP PILEDRIVER" display="OP GROUP PILEDRIVER"/>
    <hyperlink ref="B146" location="OP ZONE" display="OP ZONE"/>
    <hyperlink ref="B182" location="PLAS ZONE" display="PLAS ZONE"/>
    <hyperlink ref="B197" location="SHEET" display="SHEET"/>
    <hyperlink ref="B218" location="laborer zone" display="laborer zone"/>
    <hyperlink ref="B227" location="OP ZONE" display="OP ZONE"/>
    <hyperlink ref="C20" location="Carp" display="Carp"/>
    <hyperlink ref="C56" location="laborer zone" display="laborer zone"/>
    <hyperlink ref="C66" location="laborer zone" display="laborer zone"/>
    <hyperlink ref="C83" location="LABORER NORTH 08" display="LABORER NORTH 08"/>
    <hyperlink ref="C108" location="OP ZONE" display="OP ZONE"/>
    <hyperlink ref="C129" location="OP ZONE" display="OP ZONE"/>
    <hyperlink ref="C146" location="OP ZONE" display="OP ZONE"/>
    <hyperlink ref="B214" location="TILE 09" display="TILE 09"/>
    <hyperlink ref="C218" location="laborer zone" display="laborer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8"/>
  <sheetViews>
    <sheetView workbookViewId="0">
      <selection activeCell="M1" sqref="M1:M1048576"/>
    </sheetView>
  </sheetViews>
  <sheetFormatPr defaultRowHeight="12.75"/>
  <cols>
    <col min="1" max="1" width="36.5703125" customWidth="1"/>
    <col min="2" max="2" width="8.140625" style="9" customWidth="1"/>
    <col min="3" max="3" width="9.28515625" style="9" customWidth="1"/>
    <col min="4" max="4" width="13.5703125" customWidth="1"/>
    <col min="6" max="6" width="17.42578125" customWidth="1"/>
    <col min="7" max="7" width="8" customWidth="1"/>
    <col min="8" max="8" width="10" customWidth="1"/>
    <col min="9" max="9" width="10.140625" customWidth="1"/>
    <col min="11" max="11" width="13.85546875" customWidth="1"/>
    <col min="12" max="12" width="10.85546875" customWidth="1"/>
  </cols>
  <sheetData>
    <row r="1" spans="1:12" ht="51">
      <c r="A1" s="48" t="s">
        <v>4008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0"/>
      <c r="C2" s="20"/>
      <c r="D2" s="21">
        <f>AVERAGE(D4:D235)</f>
        <v>-4.2159300306625685E-3</v>
      </c>
      <c r="F2" s="21">
        <f>AVERAGE(F4:F235)</f>
        <v>3.608397509231908E-2</v>
      </c>
      <c r="H2" s="21">
        <f>AVERAGE(H4:H235)</f>
        <v>3.5269127755297759E-2</v>
      </c>
      <c r="I2" s="21">
        <f>AVERAGE(I4:I235)</f>
        <v>-8.3125519534497094E-3</v>
      </c>
      <c r="L2" s="21">
        <f>AVERAGE(L4:L235)</f>
        <v>1.081147037536222</v>
      </c>
    </row>
    <row r="3" spans="1:12">
      <c r="A3" s="58"/>
      <c r="B3" s="59"/>
      <c r="C3" s="59"/>
      <c r="D3" s="60"/>
    </row>
    <row r="4" spans="1:12" ht="25.5" customHeight="1">
      <c r="A4" s="2" t="s">
        <v>3500</v>
      </c>
      <c r="B4" s="12" t="s">
        <v>3501</v>
      </c>
      <c r="C4" s="44" t="s">
        <v>3498</v>
      </c>
      <c r="D4" s="8"/>
      <c r="E4" s="44"/>
      <c r="F4" s="43"/>
      <c r="G4" s="23" t="s">
        <v>3983</v>
      </c>
      <c r="H4" s="43">
        <f>AVERAGE(F5:F7)</f>
        <v>0.47112635791881097</v>
      </c>
      <c r="I4" s="43"/>
      <c r="J4" s="8"/>
      <c r="K4" s="8"/>
      <c r="L4" s="43"/>
    </row>
    <row r="5" spans="1:12" ht="12.75" customHeight="1">
      <c r="A5" s="1" t="s">
        <v>3750</v>
      </c>
      <c r="B5" s="7">
        <v>58.52</v>
      </c>
      <c r="C5" s="7">
        <v>48.35</v>
      </c>
      <c r="D5" s="16">
        <f>(C5-B5)/B5</f>
        <v>-0.17378673957621327</v>
      </c>
      <c r="E5">
        <v>34.979999999999997</v>
      </c>
      <c r="F5" s="16">
        <f>(C5-E5)/E5</f>
        <v>0.38221841052029748</v>
      </c>
      <c r="G5" s="40"/>
      <c r="H5" s="16"/>
      <c r="I5" s="16"/>
      <c r="L5" s="16"/>
    </row>
    <row r="6" spans="1:12" ht="12.75" customHeight="1">
      <c r="A6" s="1" t="s">
        <v>3751</v>
      </c>
      <c r="B6" s="7">
        <v>62.95</v>
      </c>
      <c r="C6" s="7">
        <v>51.46</v>
      </c>
      <c r="D6" s="16">
        <f>(C6-B6)/B6</f>
        <v>-0.18252581413820496</v>
      </c>
      <c r="E6">
        <v>34.979999999999997</v>
      </c>
      <c r="F6" s="16">
        <f>(C6-E6)/E6</f>
        <v>0.47112635791881091</v>
      </c>
      <c r="G6" s="40"/>
      <c r="H6" s="16"/>
      <c r="I6" s="16"/>
      <c r="L6" s="16"/>
    </row>
    <row r="7" spans="1:12" ht="12.75" customHeight="1">
      <c r="A7" s="1" t="s">
        <v>3752</v>
      </c>
      <c r="B7" s="7">
        <v>67.37</v>
      </c>
      <c r="C7" s="7">
        <v>54.57</v>
      </c>
      <c r="D7" s="16">
        <f>(C7-B7)/B7</f>
        <v>-0.18999554697936771</v>
      </c>
      <c r="E7">
        <v>34.979999999999997</v>
      </c>
      <c r="F7" s="16">
        <f>(C7-E7)/E7</f>
        <v>0.56003430531732434</v>
      </c>
      <c r="G7" s="40"/>
      <c r="H7" s="16"/>
      <c r="I7" s="16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L8" s="16"/>
    </row>
    <row r="9" spans="1:12">
      <c r="A9" s="1"/>
      <c r="B9" s="7"/>
      <c r="C9" s="7"/>
      <c r="D9" s="16"/>
      <c r="E9" s="9"/>
      <c r="F9" s="16"/>
      <c r="G9" s="40"/>
      <c r="H9" s="16"/>
      <c r="I9" s="16"/>
      <c r="L9" s="16"/>
    </row>
    <row r="10" spans="1:12">
      <c r="A10" s="2" t="s">
        <v>3505</v>
      </c>
      <c r="B10" s="7"/>
      <c r="C10" s="44"/>
      <c r="D10" s="43"/>
      <c r="E10" s="44"/>
      <c r="F10" s="43"/>
      <c r="G10" s="23" t="s">
        <v>3984</v>
      </c>
      <c r="H10" s="43"/>
      <c r="I10" s="43">
        <f>AVERAGE(F11)</f>
        <v>0</v>
      </c>
      <c r="J10" s="8"/>
      <c r="K10" s="8"/>
      <c r="L10" s="43"/>
    </row>
    <row r="11" spans="1:12" ht="12.75" customHeight="1">
      <c r="A11" s="1" t="s">
        <v>3675</v>
      </c>
      <c r="B11" s="7">
        <v>28.38</v>
      </c>
      <c r="C11" s="7">
        <v>22</v>
      </c>
      <c r="D11" s="16">
        <f>(C11-B11)/B11</f>
        <v>-0.22480620155038758</v>
      </c>
      <c r="E11" s="9">
        <v>22</v>
      </c>
      <c r="F11" s="16">
        <f>(C11-E11)/E11</f>
        <v>0</v>
      </c>
      <c r="G11" s="40"/>
      <c r="H11" s="16"/>
      <c r="I11" s="16"/>
      <c r="L11" s="16"/>
    </row>
    <row r="12" spans="1:12">
      <c r="A12" s="1"/>
      <c r="B12" s="7"/>
      <c r="C12" s="7"/>
      <c r="D12" s="16"/>
      <c r="E12" s="9"/>
      <c r="F12" s="16"/>
      <c r="G12" s="40"/>
      <c r="H12" s="16"/>
      <c r="I12" s="16"/>
      <c r="L12" s="16"/>
    </row>
    <row r="13" spans="1:12" ht="12.75" customHeight="1">
      <c r="A13" s="2" t="s">
        <v>3507</v>
      </c>
      <c r="B13" s="11" t="s">
        <v>3534</v>
      </c>
      <c r="C13" s="44" t="s">
        <v>3981</v>
      </c>
      <c r="D13" s="43"/>
      <c r="E13" s="44"/>
      <c r="F13" s="43"/>
      <c r="G13" s="23" t="s">
        <v>3983</v>
      </c>
      <c r="H13" s="43">
        <f>AVERAGE(F14)</f>
        <v>1.8693032596941044E-2</v>
      </c>
      <c r="I13" s="43"/>
      <c r="J13" s="8"/>
      <c r="K13" s="8"/>
      <c r="L13" s="43"/>
    </row>
    <row r="14" spans="1:12" ht="12.75" customHeight="1">
      <c r="A14" s="1" t="s">
        <v>3508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H14" s="16"/>
      <c r="I14" s="16"/>
      <c r="L14" s="16"/>
    </row>
    <row r="15" spans="1:12">
      <c r="A15" s="1"/>
      <c r="B15" s="7"/>
      <c r="C15" s="7"/>
      <c r="D15" s="16"/>
      <c r="E15" s="9"/>
      <c r="F15" s="16"/>
      <c r="G15" s="40"/>
      <c r="H15" s="16"/>
      <c r="I15" s="16"/>
      <c r="L15" s="16"/>
    </row>
    <row r="16" spans="1:12" ht="12.75" customHeight="1">
      <c r="A16" s="2" t="s">
        <v>3509</v>
      </c>
      <c r="B16" s="12"/>
      <c r="C16" s="55" t="s">
        <v>3496</v>
      </c>
      <c r="D16" s="43"/>
      <c r="E16" s="44"/>
      <c r="F16" s="43"/>
      <c r="G16" s="23" t="s">
        <v>3983</v>
      </c>
      <c r="H16" s="43">
        <f>AVERAGE(F17:F19)</f>
        <v>-0.24946804607821557</v>
      </c>
      <c r="I16" s="43"/>
      <c r="J16" s="8"/>
      <c r="K16" s="8"/>
      <c r="L16" s="43"/>
    </row>
    <row r="17" spans="1:12" ht="12.75" customHeight="1">
      <c r="A17" s="1" t="s">
        <v>3511</v>
      </c>
      <c r="B17" s="7">
        <v>32.68</v>
      </c>
      <c r="C17" s="7">
        <v>32.68</v>
      </c>
      <c r="D17" s="16">
        <f>(C17-B17)/B17</f>
        <v>0</v>
      </c>
      <c r="E17" s="9">
        <v>45.43</v>
      </c>
      <c r="F17" s="16">
        <f>(C17-E17)/E17</f>
        <v>-0.28065155183799251</v>
      </c>
      <c r="G17" s="40"/>
      <c r="H17" s="16"/>
      <c r="I17" s="16"/>
      <c r="L17" s="16"/>
    </row>
    <row r="18" spans="1:12" ht="12.75" customHeight="1">
      <c r="A18" s="1" t="s">
        <v>3512</v>
      </c>
      <c r="B18" s="7">
        <v>33.93</v>
      </c>
      <c r="C18" s="7">
        <v>33.93</v>
      </c>
      <c r="D18" s="16">
        <f>(C18-B18)/B18</f>
        <v>0</v>
      </c>
      <c r="E18" s="9">
        <v>45.43</v>
      </c>
      <c r="F18" s="16">
        <f>(C18-E18)/E18</f>
        <v>-0.25313669381465992</v>
      </c>
      <c r="G18" s="40"/>
      <c r="H18" s="16"/>
      <c r="I18" s="16"/>
      <c r="L18" s="16"/>
    </row>
    <row r="19" spans="1:12" ht="12.75" customHeight="1">
      <c r="A19" s="1" t="s">
        <v>3513</v>
      </c>
      <c r="B19" s="7">
        <v>35.68</v>
      </c>
      <c r="C19" s="7">
        <v>35.68</v>
      </c>
      <c r="D19" s="16">
        <f>(C19-B19)/B19</f>
        <v>0</v>
      </c>
      <c r="E19" s="9">
        <v>45.43</v>
      </c>
      <c r="F19" s="16">
        <f>(C19-E19)/E19</f>
        <v>-0.21461589258199429</v>
      </c>
      <c r="G19" s="40"/>
      <c r="H19" s="16"/>
      <c r="I19" s="16"/>
      <c r="L19" s="16"/>
    </row>
    <row r="20" spans="1:12">
      <c r="A20" s="1"/>
      <c r="B20" s="7"/>
      <c r="C20" s="7"/>
      <c r="D20" s="16"/>
      <c r="E20" s="9"/>
      <c r="F20" s="16"/>
      <c r="G20" s="40"/>
      <c r="H20" s="16"/>
      <c r="I20" s="16"/>
      <c r="L20" s="16"/>
    </row>
    <row r="21" spans="1:12" ht="12.75" customHeight="1">
      <c r="A21" s="2" t="s">
        <v>3514</v>
      </c>
      <c r="B21" s="12" t="s">
        <v>3510</v>
      </c>
      <c r="C21" s="12" t="s">
        <v>3510</v>
      </c>
      <c r="D21" s="43"/>
      <c r="E21" s="44"/>
      <c r="F21" s="43"/>
      <c r="G21" s="23" t="s">
        <v>3983</v>
      </c>
      <c r="H21" s="43">
        <f>AVERAGE(F22:F25)</f>
        <v>-5.3063658044395466E-2</v>
      </c>
      <c r="I21" s="43"/>
      <c r="J21" s="8"/>
      <c r="K21" s="8"/>
      <c r="L21" s="43"/>
    </row>
    <row r="22" spans="1:12" ht="12.75" customHeight="1">
      <c r="A22" s="1" t="s">
        <v>3515</v>
      </c>
      <c r="B22" s="7">
        <v>48.7</v>
      </c>
      <c r="C22" s="7">
        <v>48.95</v>
      </c>
      <c r="D22" s="16">
        <f>(C22-B22)/B22</f>
        <v>5.1334702258726897E-3</v>
      </c>
      <c r="E22" s="9">
        <v>54.51</v>
      </c>
      <c r="F22" s="16">
        <f>(C22-E22)/E22</f>
        <v>-0.1019996330948449</v>
      </c>
      <c r="G22" s="40"/>
      <c r="H22" s="16"/>
      <c r="I22" s="16"/>
      <c r="J22">
        <v>21.15</v>
      </c>
      <c r="K22">
        <f>J22*1.4</f>
        <v>29.609999999999996</v>
      </c>
      <c r="L22" s="16">
        <f>(C22-K22)/K22</f>
        <v>0.65315771698750458</v>
      </c>
    </row>
    <row r="23" spans="1:12" ht="12.75" customHeight="1">
      <c r="A23" s="1" t="s">
        <v>3755</v>
      </c>
      <c r="B23" s="7">
        <v>49.7</v>
      </c>
      <c r="C23" s="7">
        <v>49.95</v>
      </c>
      <c r="D23" s="16">
        <f>(C23-B23)/B23</f>
        <v>5.0301810865191147E-3</v>
      </c>
      <c r="E23" s="9">
        <v>54.51</v>
      </c>
      <c r="F23" s="16">
        <f>(C23-E23)/E23</f>
        <v>-8.3654375343973492E-2</v>
      </c>
      <c r="G23" s="40"/>
      <c r="H23" s="16"/>
      <c r="I23" s="16"/>
      <c r="J23">
        <v>21.15</v>
      </c>
      <c r="K23">
        <f t="shared" ref="K23:K86" si="0">J23*1.4</f>
        <v>29.609999999999996</v>
      </c>
      <c r="L23" s="16">
        <f t="shared" ref="L23:L25" si="1">(C23-K23)/K23</f>
        <v>0.68693009118541071</v>
      </c>
    </row>
    <row r="24" spans="1:12" ht="12.75" customHeight="1">
      <c r="A24" s="1" t="s">
        <v>3516</v>
      </c>
      <c r="B24" s="7">
        <v>51.83</v>
      </c>
      <c r="C24" s="7">
        <v>52.08</v>
      </c>
      <c r="D24" s="16">
        <f>(C24-B24)/B24</f>
        <v>4.8234613158402474E-3</v>
      </c>
      <c r="E24" s="9">
        <v>54.51</v>
      </c>
      <c r="F24" s="16">
        <f>(C24-E24)/E24</f>
        <v>-4.45789763346175E-2</v>
      </c>
      <c r="G24" s="40"/>
      <c r="H24" s="16"/>
      <c r="I24" s="16"/>
      <c r="J24">
        <v>21.15</v>
      </c>
      <c r="K24">
        <f t="shared" si="0"/>
        <v>29.609999999999996</v>
      </c>
      <c r="L24" s="16">
        <f t="shared" si="1"/>
        <v>0.75886524822695056</v>
      </c>
    </row>
    <row r="25" spans="1:12" ht="12.75" customHeight="1">
      <c r="A25" s="1" t="s">
        <v>3756</v>
      </c>
      <c r="B25" s="7">
        <v>55.24</v>
      </c>
      <c r="C25" s="7">
        <v>55.49</v>
      </c>
      <c r="D25" s="16">
        <f>(C25-B25)/B25</f>
        <v>4.5257060101375809E-3</v>
      </c>
      <c r="E25" s="9">
        <v>54.51</v>
      </c>
      <c r="F25" s="16">
        <f>(C25-E25)/E25</f>
        <v>1.7978352595854046E-2</v>
      </c>
      <c r="G25" s="40"/>
      <c r="H25" s="16"/>
      <c r="I25" s="16"/>
      <c r="J25">
        <v>21.15</v>
      </c>
      <c r="K25">
        <f t="shared" si="0"/>
        <v>29.609999999999996</v>
      </c>
      <c r="L25" s="16">
        <f t="shared" si="1"/>
        <v>0.87402904424181049</v>
      </c>
    </row>
    <row r="26" spans="1:12">
      <c r="A26" s="1"/>
      <c r="B26" s="7"/>
      <c r="C26" s="7"/>
      <c r="D26" s="16"/>
      <c r="E26" s="9"/>
      <c r="F26" s="16"/>
      <c r="G26" s="40"/>
      <c r="H26" s="16"/>
      <c r="I26" s="16"/>
      <c r="K26">
        <f t="shared" si="0"/>
        <v>0</v>
      </c>
      <c r="L26" s="16"/>
    </row>
    <row r="27" spans="1:12">
      <c r="A27" s="2" t="s">
        <v>3517</v>
      </c>
      <c r="B27" s="7"/>
      <c r="C27" s="31" t="s">
        <v>3496</v>
      </c>
      <c r="D27" s="43"/>
      <c r="E27" s="44"/>
      <c r="F27" s="43"/>
      <c r="G27" s="23" t="s">
        <v>3983</v>
      </c>
      <c r="H27" s="43">
        <f>AVERAGE(F28:F30)</f>
        <v>3.875968992248062E-2</v>
      </c>
      <c r="I27" s="43"/>
      <c r="J27" s="8"/>
      <c r="K27">
        <f t="shared" si="0"/>
        <v>0</v>
      </c>
      <c r="L27" s="43"/>
    </row>
    <row r="28" spans="1:12" ht="12.75" customHeight="1">
      <c r="A28" s="1" t="s">
        <v>3521</v>
      </c>
      <c r="B28" s="7">
        <v>46.28</v>
      </c>
      <c r="C28" s="7">
        <v>34.4</v>
      </c>
      <c r="D28" s="16">
        <f>(C28-B28)/B28</f>
        <v>-0.25669835782195338</v>
      </c>
      <c r="E28" s="9">
        <v>34.4</v>
      </c>
      <c r="F28" s="16">
        <f>(C28-E28)/E28</f>
        <v>0</v>
      </c>
      <c r="G28" s="40"/>
      <c r="H28" s="16"/>
      <c r="I28" s="16"/>
      <c r="K28">
        <f t="shared" si="0"/>
        <v>0</v>
      </c>
      <c r="L28" s="16"/>
    </row>
    <row r="29" spans="1:12" ht="12.75" customHeight="1">
      <c r="A29" s="1" t="s">
        <v>3522</v>
      </c>
      <c r="B29" s="7">
        <v>48.28</v>
      </c>
      <c r="C29" s="7">
        <v>36.4</v>
      </c>
      <c r="D29" s="16">
        <f>(C29-B29)/B29</f>
        <v>-0.24606462303231155</v>
      </c>
      <c r="E29" s="9">
        <v>34.4</v>
      </c>
      <c r="F29" s="16">
        <f>(C29-E29)/E29</f>
        <v>5.8139534883720929E-2</v>
      </c>
      <c r="G29" s="40"/>
      <c r="H29" s="16"/>
      <c r="I29" s="16"/>
      <c r="K29">
        <f t="shared" si="0"/>
        <v>0</v>
      </c>
      <c r="L29" s="16"/>
    </row>
    <row r="30" spans="1:12" ht="12.75" customHeight="1">
      <c r="A30" s="1" t="s">
        <v>3757</v>
      </c>
      <c r="B30" s="7">
        <v>50.03</v>
      </c>
      <c r="C30" s="7">
        <v>36.4</v>
      </c>
      <c r="D30" s="16">
        <f>(C30-B30)/B30</f>
        <v>-0.27243653807715373</v>
      </c>
      <c r="E30" s="9">
        <v>34.4</v>
      </c>
      <c r="F30" s="16">
        <f>(C30-E30)/E30</f>
        <v>5.8139534883720929E-2</v>
      </c>
      <c r="G30" s="40"/>
      <c r="H30" s="16"/>
      <c r="I30" s="16"/>
      <c r="K30">
        <f t="shared" si="0"/>
        <v>0</v>
      </c>
      <c r="L30" s="16"/>
    </row>
    <row r="31" spans="1:12">
      <c r="A31" s="1"/>
      <c r="B31" s="7"/>
      <c r="C31" s="7"/>
      <c r="D31" s="16"/>
      <c r="E31" s="9"/>
      <c r="F31" s="16"/>
      <c r="G31" s="40"/>
      <c r="H31" s="16"/>
      <c r="I31" s="16"/>
      <c r="K31">
        <f t="shared" si="0"/>
        <v>0</v>
      </c>
      <c r="L31" s="16"/>
    </row>
    <row r="32" spans="1:12" ht="12.75" customHeight="1">
      <c r="A32" s="2" t="s">
        <v>3964</v>
      </c>
      <c r="B32" s="12" t="s">
        <v>3510</v>
      </c>
      <c r="C32" s="31" t="s">
        <v>3492</v>
      </c>
      <c r="D32" s="43"/>
      <c r="E32" s="44"/>
      <c r="F32" s="43"/>
      <c r="G32" s="23" t="s">
        <v>3984</v>
      </c>
      <c r="H32" s="43"/>
      <c r="I32" s="43">
        <f>AVERAGE(F33)</f>
        <v>0</v>
      </c>
      <c r="J32" s="8"/>
      <c r="K32">
        <f t="shared" si="0"/>
        <v>0</v>
      </c>
      <c r="L32" s="43"/>
    </row>
    <row r="33" spans="1:12" ht="12.75" customHeight="1">
      <c r="A33" s="1" t="s">
        <v>3929</v>
      </c>
      <c r="B33" s="7">
        <v>38.72</v>
      </c>
      <c r="C33" s="7">
        <v>26.78</v>
      </c>
      <c r="D33" s="16">
        <f>(C33-B33)/B33</f>
        <v>-0.30836776859504128</v>
      </c>
      <c r="E33" s="9">
        <v>26.78</v>
      </c>
      <c r="F33" s="16">
        <f>(C33-E33)/E33</f>
        <v>0</v>
      </c>
      <c r="G33" s="40"/>
      <c r="H33" s="16"/>
      <c r="I33" s="16"/>
      <c r="K33">
        <f t="shared" si="0"/>
        <v>0</v>
      </c>
      <c r="L33" s="16"/>
    </row>
    <row r="34" spans="1:12">
      <c r="A34" s="1"/>
      <c r="B34" s="7"/>
      <c r="C34" s="7"/>
      <c r="D34" s="16"/>
      <c r="E34" s="9"/>
      <c r="F34" s="16"/>
      <c r="G34" s="40"/>
      <c r="H34" s="16"/>
      <c r="I34" s="16"/>
      <c r="K34">
        <f t="shared" si="0"/>
        <v>0</v>
      </c>
      <c r="L34" s="16"/>
    </row>
    <row r="35" spans="1:12" ht="38.25">
      <c r="A35" s="2" t="s">
        <v>3763</v>
      </c>
      <c r="B35" s="7"/>
      <c r="C35" s="31" t="s">
        <v>3996</v>
      </c>
      <c r="D35" s="43"/>
      <c r="E35" s="44"/>
      <c r="F35" s="43"/>
      <c r="G35" s="23" t="s">
        <v>3983</v>
      </c>
      <c r="H35" s="43">
        <f>AVERAGE(F36:F40)</f>
        <v>-2.2260273972602725E-2</v>
      </c>
      <c r="I35" s="43"/>
      <c r="J35" s="8"/>
      <c r="K35">
        <f t="shared" si="0"/>
        <v>0</v>
      </c>
      <c r="L35" s="43"/>
    </row>
    <row r="36" spans="1:12" ht="12.75" customHeight="1">
      <c r="A36" s="1" t="s">
        <v>3528</v>
      </c>
      <c r="B36" s="7">
        <v>34.82</v>
      </c>
      <c r="C36" s="7">
        <v>40.5</v>
      </c>
      <c r="D36" s="16">
        <f>(C36-B36)/B36</f>
        <v>0.16312464101091326</v>
      </c>
      <c r="E36" s="9">
        <v>58.4</v>
      </c>
      <c r="F36" s="16">
        <f>(C36-E36)/E36</f>
        <v>-0.3065068493150685</v>
      </c>
      <c r="G36" s="40"/>
      <c r="H36" s="16"/>
      <c r="I36" s="16"/>
      <c r="J36">
        <v>26.71</v>
      </c>
      <c r="K36">
        <f t="shared" si="0"/>
        <v>37.393999999999998</v>
      </c>
      <c r="L36" s="16">
        <f>(C36-K36)/K36</f>
        <v>8.3061453709151245E-2</v>
      </c>
    </row>
    <row r="37" spans="1:12" ht="12.75" customHeight="1">
      <c r="A37" s="1" t="s">
        <v>3529</v>
      </c>
      <c r="B37" s="7">
        <v>51.95</v>
      </c>
      <c r="C37" s="7">
        <v>59.9</v>
      </c>
      <c r="D37" s="16">
        <f>(C37-B37)/B37</f>
        <v>0.15303176130895083</v>
      </c>
      <c r="E37" s="9">
        <v>58.4</v>
      </c>
      <c r="F37" s="16">
        <f>(C37-E37)/E37</f>
        <v>2.5684931506849317E-2</v>
      </c>
      <c r="G37" s="40"/>
      <c r="H37" s="16"/>
      <c r="I37" s="16"/>
      <c r="J37">
        <v>26.71</v>
      </c>
      <c r="K37">
        <f t="shared" si="0"/>
        <v>37.393999999999998</v>
      </c>
      <c r="L37" s="16">
        <f t="shared" ref="L37:L40" si="2">(C37-K37)/K37</f>
        <v>0.6018612611648928</v>
      </c>
    </row>
    <row r="38" spans="1:12" ht="12.75" customHeight="1">
      <c r="A38" s="1" t="s">
        <v>3530</v>
      </c>
      <c r="B38" s="7">
        <v>56.89</v>
      </c>
      <c r="C38" s="7">
        <v>65.16</v>
      </c>
      <c r="D38" s="16">
        <f>(C38-B38)/B38</f>
        <v>0.14536825452627872</v>
      </c>
      <c r="E38" s="9">
        <v>58.4</v>
      </c>
      <c r="F38" s="16">
        <f>(C38-E38)/E38</f>
        <v>0.11575342465753422</v>
      </c>
      <c r="G38" s="40"/>
      <c r="H38" s="16"/>
      <c r="I38" s="16"/>
      <c r="J38">
        <v>26.71</v>
      </c>
      <c r="K38">
        <f t="shared" si="0"/>
        <v>37.393999999999998</v>
      </c>
      <c r="L38" s="16">
        <f t="shared" si="2"/>
        <v>0.74252553885650108</v>
      </c>
    </row>
    <row r="39" spans="1:12" ht="12.75" customHeight="1">
      <c r="A39" s="1" t="s">
        <v>3531</v>
      </c>
      <c r="B39" s="7">
        <v>61.9</v>
      </c>
      <c r="C39" s="7">
        <v>70.45</v>
      </c>
      <c r="D39" s="16">
        <f>(C39-B39)/B39</f>
        <v>0.13812600969305339</v>
      </c>
      <c r="E39" s="9">
        <v>58.4</v>
      </c>
      <c r="F39" s="16">
        <f>(C39-E39)/E39</f>
        <v>0.20633561643835624</v>
      </c>
      <c r="G39" s="40"/>
      <c r="H39" s="16"/>
      <c r="I39" s="16"/>
      <c r="J39">
        <v>26.71</v>
      </c>
      <c r="K39">
        <f t="shared" si="0"/>
        <v>37.393999999999998</v>
      </c>
      <c r="L39" s="16">
        <f t="shared" si="2"/>
        <v>0.8839920842915977</v>
      </c>
    </row>
    <row r="40" spans="1:12" ht="12.75" customHeight="1">
      <c r="A40" s="1" t="s">
        <v>3532</v>
      </c>
      <c r="B40" s="7">
        <v>42.69</v>
      </c>
      <c r="C40" s="7">
        <v>49.49</v>
      </c>
      <c r="D40" s="16">
        <f>(C40-B40)/B40</f>
        <v>0.1592878894354651</v>
      </c>
      <c r="E40" s="9">
        <v>58.4</v>
      </c>
      <c r="F40" s="16">
        <f>(C40-E40)/E40</f>
        <v>-0.15256849315068488</v>
      </c>
      <c r="G40" s="40"/>
      <c r="H40" s="16"/>
      <c r="I40" s="16"/>
      <c r="J40">
        <v>26.71</v>
      </c>
      <c r="K40">
        <f t="shared" si="0"/>
        <v>37.393999999999998</v>
      </c>
      <c r="L40" s="16">
        <f t="shared" si="2"/>
        <v>0.32347435417446663</v>
      </c>
    </row>
    <row r="41" spans="1:12">
      <c r="A41" s="1"/>
      <c r="B41" s="7"/>
      <c r="C41" s="7"/>
      <c r="D41" s="16"/>
      <c r="E41" s="9"/>
      <c r="F41" s="16"/>
      <c r="G41" s="40"/>
      <c r="H41" s="16"/>
      <c r="I41" s="16"/>
      <c r="K41">
        <f t="shared" si="0"/>
        <v>0</v>
      </c>
      <c r="L41" s="16"/>
    </row>
    <row r="42" spans="1:12">
      <c r="A42" s="2" t="s">
        <v>3533</v>
      </c>
      <c r="B42" s="7"/>
      <c r="C42" s="31" t="s">
        <v>3981</v>
      </c>
      <c r="D42" s="43"/>
      <c r="E42" s="44"/>
      <c r="F42" s="43"/>
      <c r="G42" s="23" t="s">
        <v>3983</v>
      </c>
      <c r="H42" s="43">
        <f>AVERAGE(F43)</f>
        <v>5.7445868316395301E-3</v>
      </c>
      <c r="I42" s="43"/>
      <c r="J42" s="8"/>
      <c r="K42">
        <f t="shared" si="0"/>
        <v>0</v>
      </c>
      <c r="L42" s="43"/>
    </row>
    <row r="43" spans="1:12" ht="12.75" customHeight="1">
      <c r="A43" s="1" t="s">
        <v>3535</v>
      </c>
      <c r="B43" s="7">
        <v>44.31</v>
      </c>
      <c r="C43" s="7">
        <v>45.52</v>
      </c>
      <c r="D43" s="16">
        <f>(C43-B43)/B43</f>
        <v>2.7307605506657655E-2</v>
      </c>
      <c r="E43" s="9">
        <v>45.26</v>
      </c>
      <c r="F43" s="16">
        <f>(C43-E43)/E43</f>
        <v>5.7445868316395301E-3</v>
      </c>
      <c r="G43" s="40"/>
      <c r="H43" s="16"/>
      <c r="I43" s="16"/>
      <c r="K43">
        <f t="shared" si="0"/>
        <v>0</v>
      </c>
      <c r="L43" s="16"/>
    </row>
    <row r="44" spans="1:12">
      <c r="A44" s="1"/>
      <c r="B44" s="7"/>
      <c r="C44" s="7"/>
      <c r="D44" s="16"/>
      <c r="E44" s="9"/>
      <c r="F44" s="16"/>
      <c r="G44" s="40"/>
      <c r="H44" s="16"/>
      <c r="I44" s="16"/>
      <c r="K44">
        <f t="shared" si="0"/>
        <v>0</v>
      </c>
      <c r="L44" s="16"/>
    </row>
    <row r="45" spans="1:12" ht="12.75" customHeight="1">
      <c r="A45" s="2" t="s">
        <v>3536</v>
      </c>
      <c r="B45" s="12" t="s">
        <v>3510</v>
      </c>
      <c r="C45" s="31"/>
      <c r="D45" s="43"/>
      <c r="E45" s="44"/>
      <c r="F45" s="43"/>
      <c r="G45" s="23" t="s">
        <v>3984</v>
      </c>
      <c r="H45" s="43"/>
      <c r="I45" s="43">
        <f>AVERAGE(F46:F49)</f>
        <v>-4.1562759767248547E-2</v>
      </c>
      <c r="J45" s="8"/>
      <c r="K45">
        <f t="shared" si="0"/>
        <v>0</v>
      </c>
      <c r="L45" s="43"/>
    </row>
    <row r="46" spans="1:12" ht="12.75" customHeight="1">
      <c r="A46" s="1" t="s">
        <v>3939</v>
      </c>
      <c r="B46" s="7">
        <v>54.74</v>
      </c>
      <c r="C46" s="7">
        <v>23.06</v>
      </c>
      <c r="D46" s="16">
        <f>(C46-B46)/B46</f>
        <v>-0.57873584216295215</v>
      </c>
      <c r="E46" s="9">
        <v>24.06</v>
      </c>
      <c r="F46" s="16">
        <f>(C46-E46)/E46</f>
        <v>-4.1562759767248547E-2</v>
      </c>
      <c r="G46" s="40"/>
      <c r="H46" s="16"/>
      <c r="I46" s="16"/>
      <c r="K46">
        <f t="shared" si="0"/>
        <v>0</v>
      </c>
      <c r="L46" s="16"/>
    </row>
    <row r="47" spans="1:12" ht="12.75" customHeight="1">
      <c r="A47" s="1" t="s">
        <v>3940</v>
      </c>
      <c r="B47" s="7">
        <v>55.25</v>
      </c>
      <c r="C47" s="7">
        <v>23.06</v>
      </c>
      <c r="D47" s="16">
        <f>(C47-B47)/B47</f>
        <v>-0.58262443438914024</v>
      </c>
      <c r="E47" s="9">
        <v>24.06</v>
      </c>
      <c r="F47" s="16">
        <f>(C47-E47)/E47</f>
        <v>-4.1562759767248547E-2</v>
      </c>
      <c r="G47" s="40"/>
      <c r="H47" s="16"/>
      <c r="I47" s="16"/>
      <c r="K47">
        <f t="shared" si="0"/>
        <v>0</v>
      </c>
      <c r="L47" s="16"/>
    </row>
    <row r="48" spans="1:12" ht="12.75" customHeight="1">
      <c r="A48" s="1" t="s">
        <v>3530</v>
      </c>
      <c r="B48" s="7">
        <v>59.18</v>
      </c>
      <c r="C48" s="7">
        <v>23.06</v>
      </c>
      <c r="D48" s="16">
        <f>(C48-B48)/B48</f>
        <v>-0.61034133153092274</v>
      </c>
      <c r="E48" s="9">
        <v>24.06</v>
      </c>
      <c r="F48" s="16">
        <f>(C48-E48)/E48</f>
        <v>-4.1562759767248547E-2</v>
      </c>
      <c r="G48" s="40"/>
      <c r="H48" s="16"/>
      <c r="I48" s="16"/>
      <c r="K48">
        <f t="shared" si="0"/>
        <v>0</v>
      </c>
      <c r="L48" s="16"/>
    </row>
    <row r="49" spans="1:12" ht="12.75" customHeight="1">
      <c r="A49" s="1" t="s">
        <v>3531</v>
      </c>
      <c r="B49" s="7">
        <v>63.62</v>
      </c>
      <c r="C49" s="7">
        <v>23.06</v>
      </c>
      <c r="D49" s="16">
        <f>(C49-B49)/B49</f>
        <v>-0.63753536623703244</v>
      </c>
      <c r="E49" s="9">
        <v>24.06</v>
      </c>
      <c r="F49" s="16">
        <f>(C49-E49)/E49</f>
        <v>-4.1562759767248547E-2</v>
      </c>
      <c r="G49" s="40"/>
      <c r="H49" s="16"/>
      <c r="I49" s="16"/>
      <c r="K49">
        <f t="shared" si="0"/>
        <v>0</v>
      </c>
      <c r="L49" s="16"/>
    </row>
    <row r="50" spans="1:12">
      <c r="A50" s="1"/>
      <c r="B50" s="7"/>
      <c r="C50" s="7"/>
      <c r="D50" s="16"/>
      <c r="E50" s="9"/>
      <c r="F50" s="16"/>
      <c r="G50" s="40"/>
      <c r="H50" s="16"/>
      <c r="I50" s="16"/>
      <c r="K50">
        <f t="shared" si="0"/>
        <v>0</v>
      </c>
      <c r="L50" s="16"/>
    </row>
    <row r="51" spans="1:12" ht="12.75" customHeight="1">
      <c r="A51" s="2" t="s">
        <v>3541</v>
      </c>
      <c r="B51" s="11" t="s">
        <v>3534</v>
      </c>
      <c r="C51" s="31"/>
      <c r="D51" s="43"/>
      <c r="E51" s="44"/>
      <c r="F51" s="43"/>
      <c r="G51" s="23" t="s">
        <v>3983</v>
      </c>
      <c r="H51" s="43">
        <f>AVERAGE(F52:F53)</f>
        <v>3.0887736424649148E-2</v>
      </c>
      <c r="I51" s="43"/>
      <c r="J51" s="8"/>
      <c r="K51">
        <f t="shared" si="0"/>
        <v>0</v>
      </c>
      <c r="L51" s="43"/>
    </row>
    <row r="52" spans="1:12" ht="12.75" customHeight="1">
      <c r="A52" s="1" t="s">
        <v>3542</v>
      </c>
      <c r="B52" s="7">
        <v>46.01</v>
      </c>
      <c r="C52" s="7">
        <v>64.58</v>
      </c>
      <c r="D52" s="16">
        <f>(C52-B52)/B52</f>
        <v>0.40360791132362533</v>
      </c>
      <c r="E52" s="9">
        <v>65.56</v>
      </c>
      <c r="F52" s="16">
        <f>(C52-E52)/E52</f>
        <v>-1.4948139109212995E-2</v>
      </c>
      <c r="G52" s="40"/>
      <c r="H52" s="16"/>
      <c r="I52" s="16"/>
      <c r="K52">
        <f t="shared" si="0"/>
        <v>0</v>
      </c>
      <c r="L52" s="16"/>
    </row>
    <row r="53" spans="1:12" ht="12.75" customHeight="1">
      <c r="A53" s="1" t="s">
        <v>3769</v>
      </c>
      <c r="B53" s="7">
        <v>46.01</v>
      </c>
      <c r="C53" s="7">
        <v>70.59</v>
      </c>
      <c r="D53" s="16">
        <f>(C53-B53)/B53</f>
        <v>0.53423168876331251</v>
      </c>
      <c r="E53" s="9">
        <v>65.56</v>
      </c>
      <c r="F53" s="16">
        <f>(C53-E53)/E53</f>
        <v>7.6723611958511295E-2</v>
      </c>
      <c r="G53" s="40"/>
      <c r="H53" s="16"/>
      <c r="I53" s="16"/>
      <c r="K53">
        <f t="shared" si="0"/>
        <v>0</v>
      </c>
      <c r="L53" s="16"/>
    </row>
    <row r="54" spans="1:12">
      <c r="A54" s="1"/>
      <c r="B54" s="7"/>
      <c r="C54" s="7"/>
      <c r="D54" s="16"/>
      <c r="E54" s="9"/>
      <c r="F54" s="16"/>
      <c r="G54" s="40"/>
      <c r="H54" s="16"/>
      <c r="I54" s="16"/>
      <c r="K54">
        <f t="shared" si="0"/>
        <v>0</v>
      </c>
      <c r="L54" s="16"/>
    </row>
    <row r="55" spans="1:12" ht="12.75" customHeight="1">
      <c r="A55" s="2" t="s">
        <v>3544</v>
      </c>
      <c r="B55" s="11" t="s">
        <v>3534</v>
      </c>
      <c r="C55" s="33" t="s">
        <v>3534</v>
      </c>
      <c r="D55" s="43"/>
      <c r="E55" s="44"/>
      <c r="F55" s="43"/>
      <c r="G55" s="23" t="s">
        <v>3984</v>
      </c>
      <c r="H55" s="43"/>
      <c r="I55" s="43">
        <f>AVERAGE(F56)</f>
        <v>0</v>
      </c>
      <c r="J55" s="8"/>
      <c r="K55">
        <f t="shared" si="0"/>
        <v>0</v>
      </c>
      <c r="L55" s="43"/>
    </row>
    <row r="56" spans="1:12" ht="12.75" customHeight="1">
      <c r="A56" s="1" t="s">
        <v>3545</v>
      </c>
      <c r="B56" s="7">
        <v>13</v>
      </c>
      <c r="C56" s="7">
        <v>18.43</v>
      </c>
      <c r="D56" s="16">
        <f>(C56-B56)/B56</f>
        <v>0.4176923076923077</v>
      </c>
      <c r="E56" s="9">
        <v>18.43</v>
      </c>
      <c r="F56" s="16">
        <f>(C56-E56)/E56</f>
        <v>0</v>
      </c>
      <c r="G56" s="40"/>
      <c r="H56" s="16"/>
      <c r="I56" s="16"/>
      <c r="K56">
        <f t="shared" si="0"/>
        <v>0</v>
      </c>
      <c r="L56" s="16"/>
    </row>
    <row r="57" spans="1:12">
      <c r="A57" s="1"/>
      <c r="B57" s="7"/>
      <c r="C57" s="7"/>
      <c r="D57" s="16"/>
      <c r="E57" s="9"/>
      <c r="F57" s="16"/>
      <c r="G57" s="40"/>
      <c r="H57" s="16"/>
      <c r="I57" s="16"/>
      <c r="K57">
        <f t="shared" si="0"/>
        <v>0</v>
      </c>
      <c r="L57" s="16"/>
    </row>
    <row r="58" spans="1:12" ht="25.5" customHeight="1">
      <c r="A58" s="2" t="s">
        <v>3546</v>
      </c>
      <c r="B58" s="12" t="s">
        <v>3547</v>
      </c>
      <c r="C58" s="12" t="s">
        <v>3547</v>
      </c>
      <c r="D58" s="43"/>
      <c r="E58" s="44"/>
      <c r="F58" s="43"/>
      <c r="G58" s="23"/>
      <c r="H58" s="43"/>
      <c r="I58" s="43"/>
      <c r="J58" s="8"/>
      <c r="K58">
        <f t="shared" si="0"/>
        <v>0</v>
      </c>
      <c r="L58" s="43"/>
    </row>
    <row r="59" spans="1:12" ht="12.75" customHeight="1">
      <c r="A59" s="1" t="s">
        <v>3548</v>
      </c>
      <c r="B59" s="7">
        <v>41.44</v>
      </c>
      <c r="C59" s="7">
        <v>41.44</v>
      </c>
      <c r="D59" s="16">
        <f>(C59-B59)/B59</f>
        <v>0</v>
      </c>
      <c r="E59" s="9"/>
      <c r="F59" s="16"/>
      <c r="G59" s="40"/>
      <c r="H59" s="16"/>
      <c r="I59" s="16"/>
      <c r="K59">
        <f t="shared" si="0"/>
        <v>0</v>
      </c>
      <c r="L59" s="16"/>
    </row>
    <row r="60" spans="1:12">
      <c r="A60" s="1"/>
      <c r="B60" s="7"/>
      <c r="C60" s="7"/>
      <c r="D60" s="16"/>
      <c r="E60" s="9"/>
      <c r="F60" s="16"/>
      <c r="G60" s="40"/>
      <c r="H60" s="16"/>
      <c r="I60" s="16"/>
      <c r="K60">
        <f t="shared" si="0"/>
        <v>0</v>
      </c>
      <c r="L60" s="16"/>
    </row>
    <row r="61" spans="1:12" ht="25.5">
      <c r="A61" s="2" t="s">
        <v>3549</v>
      </c>
      <c r="B61" s="7"/>
      <c r="C61" s="31" t="s">
        <v>3497</v>
      </c>
      <c r="D61" s="43"/>
      <c r="E61" s="44"/>
      <c r="F61" s="43"/>
      <c r="G61" s="23" t="s">
        <v>3983</v>
      </c>
      <c r="H61" s="43">
        <f>AVERAGE(F62:F63)</f>
        <v>3.6491324703938281E-2</v>
      </c>
      <c r="I61" s="43"/>
      <c r="J61" s="8"/>
      <c r="K61">
        <f t="shared" si="0"/>
        <v>0</v>
      </c>
      <c r="L61" s="43"/>
    </row>
    <row r="62" spans="1:12" ht="12.75" customHeight="1">
      <c r="A62" s="1" t="s">
        <v>3550</v>
      </c>
      <c r="B62" s="7">
        <v>36.26</v>
      </c>
      <c r="C62" s="7">
        <v>36.340000000000003</v>
      </c>
      <c r="D62" s="16">
        <f>(C62-B62)/B62</f>
        <v>2.2062879205737838E-3</v>
      </c>
      <c r="E62" s="9">
        <v>36.31</v>
      </c>
      <c r="F62" s="16">
        <f>(C62-E62)/E62</f>
        <v>8.2621867254203073E-4</v>
      </c>
      <c r="G62" s="40"/>
      <c r="H62" s="16"/>
      <c r="I62" s="16"/>
      <c r="K62">
        <f t="shared" si="0"/>
        <v>0</v>
      </c>
      <c r="L62" s="16"/>
    </row>
    <row r="63" spans="1:12" ht="12.75" customHeight="1">
      <c r="A63" s="1" t="s">
        <v>3551</v>
      </c>
      <c r="B63" s="7">
        <v>38.9</v>
      </c>
      <c r="C63" s="7">
        <v>38.93</v>
      </c>
      <c r="D63" s="16">
        <f>(C63-B63)/B63</f>
        <v>7.7120822622110891E-4</v>
      </c>
      <c r="E63" s="9">
        <v>36.31</v>
      </c>
      <c r="F63" s="16">
        <f>(C63-E63)/E63</f>
        <v>7.2156430735334537E-2</v>
      </c>
      <c r="G63" s="40"/>
      <c r="H63" s="16"/>
      <c r="I63" s="16"/>
      <c r="K63">
        <f t="shared" si="0"/>
        <v>0</v>
      </c>
      <c r="L63" s="16"/>
    </row>
    <row r="64" spans="1:12">
      <c r="A64" s="1"/>
      <c r="B64" s="7"/>
      <c r="C64" s="7"/>
      <c r="D64" s="16"/>
      <c r="E64" s="9"/>
      <c r="F64" s="16"/>
      <c r="G64" s="40"/>
      <c r="H64" s="16"/>
      <c r="I64" s="16"/>
      <c r="K64">
        <f t="shared" si="0"/>
        <v>0</v>
      </c>
      <c r="L64" s="16"/>
    </row>
    <row r="65" spans="1:12" ht="12.75" customHeight="1">
      <c r="A65" s="2" t="s">
        <v>3552</v>
      </c>
      <c r="B65" s="11" t="s">
        <v>3534</v>
      </c>
      <c r="C65" s="33" t="s">
        <v>3534</v>
      </c>
      <c r="D65" s="43"/>
      <c r="E65" s="44"/>
      <c r="F65" s="43"/>
      <c r="G65" s="23" t="s">
        <v>3984</v>
      </c>
      <c r="H65" s="43"/>
      <c r="I65" s="43">
        <f>AVERAGE(F66)</f>
        <v>0</v>
      </c>
      <c r="J65" s="8"/>
      <c r="K65">
        <f t="shared" si="0"/>
        <v>0</v>
      </c>
      <c r="L65" s="43"/>
    </row>
    <row r="66" spans="1:12" ht="12.75" customHeight="1">
      <c r="A66" s="1" t="s">
        <v>3553</v>
      </c>
      <c r="B66" s="7">
        <v>21.5</v>
      </c>
      <c r="C66" s="7">
        <v>21.5</v>
      </c>
      <c r="D66" s="16">
        <f>(C66-B66)/B66</f>
        <v>0</v>
      </c>
      <c r="E66" s="9">
        <v>21.5</v>
      </c>
      <c r="F66" s="16">
        <f>(C66-E66)/E66</f>
        <v>0</v>
      </c>
      <c r="G66" s="40"/>
      <c r="H66" s="16"/>
      <c r="I66" s="16"/>
      <c r="K66">
        <f t="shared" si="0"/>
        <v>0</v>
      </c>
      <c r="L66" s="16"/>
    </row>
    <row r="67" spans="1:12">
      <c r="A67" s="1"/>
      <c r="B67" s="7"/>
      <c r="C67" s="7"/>
      <c r="D67" s="16"/>
      <c r="E67" s="9"/>
      <c r="F67" s="16"/>
      <c r="G67" s="40"/>
      <c r="H67" s="16"/>
      <c r="I67" s="16"/>
      <c r="K67">
        <f t="shared" si="0"/>
        <v>0</v>
      </c>
      <c r="L67" s="16"/>
    </row>
    <row r="68" spans="1:12" ht="51">
      <c r="A68" s="2" t="s">
        <v>3554</v>
      </c>
      <c r="B68" s="7"/>
      <c r="C68" s="12" t="s">
        <v>3547</v>
      </c>
      <c r="D68" s="43"/>
      <c r="E68" s="44"/>
      <c r="F68" s="43"/>
      <c r="G68" s="23" t="s">
        <v>3983</v>
      </c>
      <c r="H68" s="43">
        <f>AVERAGE(F69)</f>
        <v>0</v>
      </c>
      <c r="I68" s="43"/>
      <c r="J68" s="8"/>
      <c r="K68">
        <f t="shared" si="0"/>
        <v>0</v>
      </c>
      <c r="L68" s="43"/>
    </row>
    <row r="69" spans="1:12" ht="12.75" customHeight="1">
      <c r="A69" s="1" t="s">
        <v>3555</v>
      </c>
      <c r="B69" s="7">
        <v>33.57</v>
      </c>
      <c r="C69" s="7">
        <v>42.94</v>
      </c>
      <c r="D69" s="16">
        <f>(C69-B69)/B69</f>
        <v>0.27911826035150422</v>
      </c>
      <c r="E69" s="9">
        <v>42.94</v>
      </c>
      <c r="F69" s="16">
        <f>(C69-E69)/E69</f>
        <v>0</v>
      </c>
      <c r="G69" s="40"/>
      <c r="H69" s="16"/>
      <c r="I69" s="16"/>
      <c r="K69">
        <f t="shared" si="0"/>
        <v>0</v>
      </c>
      <c r="L69" s="16"/>
    </row>
    <row r="70" spans="1:12">
      <c r="A70" s="1"/>
      <c r="B70" s="7"/>
      <c r="C70" s="7"/>
      <c r="D70" s="16"/>
      <c r="E70" s="9"/>
      <c r="F70" s="16"/>
      <c r="G70" s="40"/>
      <c r="H70" s="16"/>
      <c r="I70" s="16"/>
      <c r="K70">
        <f t="shared" si="0"/>
        <v>0</v>
      </c>
      <c r="L70" s="16"/>
    </row>
    <row r="71" spans="1:12" ht="12.75" customHeight="1">
      <c r="A71" s="2" t="s">
        <v>3556</v>
      </c>
      <c r="B71" s="12" t="s">
        <v>3547</v>
      </c>
      <c r="C71" s="44" t="s">
        <v>3496</v>
      </c>
      <c r="D71" s="43"/>
      <c r="E71" s="44"/>
      <c r="F71" s="43"/>
      <c r="G71" s="23" t="s">
        <v>3983</v>
      </c>
      <c r="H71" s="43">
        <f>AVERAGE(F72:F73)</f>
        <v>2.3089355806972984E-2</v>
      </c>
      <c r="I71" s="43"/>
      <c r="J71" s="8"/>
      <c r="K71">
        <f t="shared" si="0"/>
        <v>0</v>
      </c>
      <c r="L71" s="43"/>
    </row>
    <row r="72" spans="1:12" ht="12.75" customHeight="1">
      <c r="A72" s="1" t="s">
        <v>3557</v>
      </c>
      <c r="B72" s="7">
        <v>30.1</v>
      </c>
      <c r="C72" s="7">
        <v>43.31</v>
      </c>
      <c r="D72" s="16">
        <f>(C72-B72)/B72</f>
        <v>0.43887043189368774</v>
      </c>
      <c r="E72" s="9">
        <v>43.31</v>
      </c>
      <c r="F72" s="16">
        <f>(C72-E72)/E72</f>
        <v>0</v>
      </c>
      <c r="G72" s="40"/>
      <c r="H72" s="16"/>
      <c r="I72" s="16"/>
      <c r="K72">
        <f t="shared" si="0"/>
        <v>0</v>
      </c>
      <c r="L72" s="16"/>
    </row>
    <row r="73" spans="1:12" ht="12.75" customHeight="1">
      <c r="A73" s="1" t="s">
        <v>3683</v>
      </c>
      <c r="B73" s="7">
        <v>30.6</v>
      </c>
      <c r="C73" s="7">
        <v>45.31</v>
      </c>
      <c r="D73" s="16">
        <f>(C73-B73)/B73</f>
        <v>0.48071895424836603</v>
      </c>
      <c r="E73" s="9">
        <v>43.31</v>
      </c>
      <c r="F73" s="16">
        <f>(C73-E73)/E73</f>
        <v>4.6178711613945968E-2</v>
      </c>
      <c r="G73" s="40"/>
      <c r="H73" s="16"/>
      <c r="I73" s="16"/>
      <c r="K73">
        <f t="shared" si="0"/>
        <v>0</v>
      </c>
      <c r="L73" s="16"/>
    </row>
    <row r="74" spans="1:12">
      <c r="A74" s="1"/>
      <c r="B74" s="7"/>
      <c r="C74" s="7"/>
      <c r="D74" s="16"/>
      <c r="E74" s="9"/>
      <c r="F74" s="16"/>
      <c r="G74" s="40"/>
      <c r="H74" s="16"/>
      <c r="I74" s="16"/>
      <c r="K74">
        <f t="shared" si="0"/>
        <v>0</v>
      </c>
      <c r="L74" s="16"/>
    </row>
    <row r="75" spans="1:12" ht="25.5" customHeight="1">
      <c r="A75" s="2" t="s">
        <v>3775</v>
      </c>
      <c r="B75" s="12" t="s">
        <v>3547</v>
      </c>
      <c r="C75" s="44" t="s">
        <v>3981</v>
      </c>
      <c r="D75" s="43"/>
      <c r="E75" s="44"/>
      <c r="F75" s="43"/>
      <c r="G75" s="23" t="s">
        <v>3983</v>
      </c>
      <c r="H75" s="43">
        <f>AVERAGE(F76:F78)</f>
        <v>3.7588332581566679E-2</v>
      </c>
      <c r="I75" s="43"/>
      <c r="J75" s="8"/>
      <c r="K75">
        <f t="shared" si="0"/>
        <v>0</v>
      </c>
      <c r="L75" s="43"/>
    </row>
    <row r="76" spans="1:12" ht="12.75" customHeight="1">
      <c r="A76" s="1" t="s">
        <v>3560</v>
      </c>
      <c r="B76" s="7">
        <v>44.34</v>
      </c>
      <c r="C76" s="7">
        <v>44.34</v>
      </c>
      <c r="D76" s="16">
        <f>(C76-B76)/B76</f>
        <v>0</v>
      </c>
      <c r="E76" s="9">
        <v>44.34</v>
      </c>
      <c r="F76" s="16">
        <f>(C76-E76)/E76</f>
        <v>0</v>
      </c>
      <c r="G76" s="40"/>
      <c r="H76" s="16"/>
      <c r="I76" s="16"/>
      <c r="K76">
        <f t="shared" si="0"/>
        <v>0</v>
      </c>
      <c r="L76" s="16"/>
    </row>
    <row r="77" spans="1:12" ht="12.75" customHeight="1">
      <c r="A77" s="1" t="s">
        <v>3909</v>
      </c>
      <c r="B77" s="7">
        <v>46.34</v>
      </c>
      <c r="C77" s="7">
        <v>46.34</v>
      </c>
      <c r="D77" s="16">
        <f>(C77-B77)/B77</f>
        <v>0</v>
      </c>
      <c r="E77" s="9">
        <v>44.34</v>
      </c>
      <c r="F77" s="16">
        <f>(C77-E77)/E77</f>
        <v>4.5105999097880017E-2</v>
      </c>
      <c r="G77" s="40"/>
      <c r="H77" s="16"/>
      <c r="I77" s="16"/>
      <c r="K77">
        <f t="shared" si="0"/>
        <v>0</v>
      </c>
      <c r="L77" s="16"/>
    </row>
    <row r="78" spans="1:12" ht="12.75" customHeight="1">
      <c r="A78" s="1" t="s">
        <v>3562</v>
      </c>
      <c r="B78" s="7">
        <v>47.34</v>
      </c>
      <c r="C78" s="7">
        <v>47.34</v>
      </c>
      <c r="D78" s="16">
        <f>(C78-B78)/B78</f>
        <v>0</v>
      </c>
      <c r="E78" s="9">
        <v>44.34</v>
      </c>
      <c r="F78" s="16">
        <f>(C78-E78)/E78</f>
        <v>6.7658998646820026E-2</v>
      </c>
      <c r="G78" s="40"/>
      <c r="H78" s="16"/>
      <c r="I78" s="16"/>
      <c r="K78">
        <f t="shared" si="0"/>
        <v>0</v>
      </c>
      <c r="L78" s="16"/>
    </row>
    <row r="79" spans="1:12">
      <c r="A79" s="1"/>
      <c r="B79" s="7"/>
      <c r="C79" s="7"/>
      <c r="D79" s="16"/>
      <c r="E79" s="9"/>
      <c r="F79" s="16"/>
      <c r="G79" s="40"/>
      <c r="H79" s="16"/>
      <c r="I79" s="16"/>
      <c r="K79">
        <f t="shared" si="0"/>
        <v>0</v>
      </c>
      <c r="L79" s="16"/>
    </row>
    <row r="80" spans="1:12" ht="25.5" customHeight="1">
      <c r="A80" s="2" t="s">
        <v>3563</v>
      </c>
      <c r="B80" s="12" t="s">
        <v>3924</v>
      </c>
      <c r="C80" s="31"/>
      <c r="D80" s="43"/>
      <c r="E80" s="44"/>
      <c r="F80" s="43"/>
      <c r="G80" s="23" t="s">
        <v>3983</v>
      </c>
      <c r="H80" s="43">
        <f>AVERAGE(F81:F83)</f>
        <v>0.60631184808772398</v>
      </c>
      <c r="I80" s="43"/>
      <c r="J80" s="8"/>
      <c r="K80">
        <f t="shared" si="0"/>
        <v>0</v>
      </c>
      <c r="L80" s="43"/>
    </row>
    <row r="81" spans="1:12" ht="12.75" customHeight="1">
      <c r="A81" s="1" t="s">
        <v>3565</v>
      </c>
      <c r="B81" s="7">
        <v>54.38</v>
      </c>
      <c r="C81" s="7">
        <v>56.74</v>
      </c>
      <c r="D81" s="16">
        <f>(C81-B81)/B81</f>
        <v>4.3398308201544673E-2</v>
      </c>
      <c r="E81" s="9">
        <v>37.39</v>
      </c>
      <c r="F81" s="16">
        <f>(C81-E81)/E81</f>
        <v>0.51751805295533571</v>
      </c>
      <c r="G81" s="40"/>
      <c r="H81" s="16"/>
      <c r="I81" s="16"/>
      <c r="K81">
        <f t="shared" si="0"/>
        <v>0</v>
      </c>
      <c r="L81" s="16"/>
    </row>
    <row r="82" spans="1:12" ht="12.75" customHeight="1">
      <c r="A82" s="1" t="s">
        <v>3566</v>
      </c>
      <c r="B82" s="7">
        <v>57.68</v>
      </c>
      <c r="C82" s="7">
        <v>60.04</v>
      </c>
      <c r="D82" s="16">
        <f>(C82-B82)/B82</f>
        <v>4.0915395284327312E-2</v>
      </c>
      <c r="E82" s="9">
        <v>37.39</v>
      </c>
      <c r="F82" s="16">
        <f>(C82-E82)/E82</f>
        <v>0.60577694570740837</v>
      </c>
      <c r="G82" s="40"/>
      <c r="H82" s="16"/>
      <c r="I82" s="16"/>
      <c r="K82">
        <f t="shared" si="0"/>
        <v>0</v>
      </c>
      <c r="L82" s="16"/>
    </row>
    <row r="83" spans="1:12" ht="12.75" customHeight="1">
      <c r="A83" s="1" t="s">
        <v>3567</v>
      </c>
      <c r="B83" s="7">
        <v>61.04</v>
      </c>
      <c r="C83" s="7">
        <v>63.4</v>
      </c>
      <c r="D83" s="16">
        <f>(C83-B83)/B83</f>
        <v>3.8663171690694616E-2</v>
      </c>
      <c r="E83" s="9">
        <v>37.39</v>
      </c>
      <c r="F83" s="16">
        <f>(C83-E83)/E83</f>
        <v>0.69564054560042787</v>
      </c>
      <c r="G83" s="40"/>
      <c r="H83" s="16"/>
      <c r="I83" s="16"/>
      <c r="K83">
        <f t="shared" si="0"/>
        <v>0</v>
      </c>
      <c r="L83" s="16"/>
    </row>
    <row r="84" spans="1:12">
      <c r="A84" s="1"/>
      <c r="B84" s="7"/>
      <c r="C84" s="7"/>
      <c r="D84" s="16"/>
      <c r="E84" s="9"/>
      <c r="F84" s="16"/>
      <c r="G84" s="40"/>
      <c r="H84" s="16"/>
      <c r="I84" s="16"/>
      <c r="K84">
        <f t="shared" si="0"/>
        <v>0</v>
      </c>
      <c r="L84" s="16"/>
    </row>
    <row r="85" spans="1:12">
      <c r="A85" s="2" t="s">
        <v>3686</v>
      </c>
      <c r="B85" s="7"/>
      <c r="C85" s="7"/>
      <c r="D85" s="16"/>
      <c r="E85" s="9"/>
      <c r="F85" s="16"/>
      <c r="G85" s="40"/>
      <c r="H85" s="16"/>
      <c r="I85" s="16"/>
      <c r="K85">
        <f t="shared" si="0"/>
        <v>0</v>
      </c>
      <c r="L85" s="16"/>
    </row>
    <row r="86" spans="1:12" ht="12.75" customHeight="1">
      <c r="A86" s="3" t="s">
        <v>3569</v>
      </c>
      <c r="B86" s="12" t="s">
        <v>3510</v>
      </c>
      <c r="C86" s="12" t="s">
        <v>3510</v>
      </c>
      <c r="D86" s="43"/>
      <c r="E86" s="44"/>
      <c r="F86" s="43"/>
      <c r="G86" s="23" t="s">
        <v>3983</v>
      </c>
      <c r="H86" s="43">
        <f>AVERAGE(F87:F97)</f>
        <v>3.6118050556802374E-2</v>
      </c>
      <c r="I86" s="43"/>
      <c r="J86" s="8"/>
      <c r="K86">
        <f t="shared" si="0"/>
        <v>0</v>
      </c>
      <c r="L86" s="43"/>
    </row>
    <row r="87" spans="1:12" ht="12.75" customHeight="1">
      <c r="A87" s="1" t="s">
        <v>3573</v>
      </c>
      <c r="B87" s="7">
        <v>42.94</v>
      </c>
      <c r="C87" s="7">
        <v>42.94</v>
      </c>
      <c r="D87" s="16">
        <f t="shared" ref="D87:D97" si="3">(C87-B87)/B87</f>
        <v>0</v>
      </c>
      <c r="E87" s="9">
        <v>42.94</v>
      </c>
      <c r="F87" s="16">
        <f t="shared" ref="F87:F97" si="4">(C87-E87)/E87</f>
        <v>0</v>
      </c>
      <c r="G87" s="40"/>
      <c r="H87" s="16"/>
      <c r="I87" s="16"/>
      <c r="J87">
        <v>23.62</v>
      </c>
      <c r="K87">
        <f t="shared" ref="K87:K150" si="5">J87*1.4</f>
        <v>33.067999999999998</v>
      </c>
      <c r="L87" s="16">
        <f>(C87-K87)/K87</f>
        <v>0.2985363493407524</v>
      </c>
    </row>
    <row r="88" spans="1:12" ht="12.75" customHeight="1">
      <c r="A88" s="1" t="s">
        <v>3575</v>
      </c>
      <c r="B88" s="7">
        <v>43.15</v>
      </c>
      <c r="C88" s="7">
        <v>43.15</v>
      </c>
      <c r="D88" s="16">
        <f t="shared" si="3"/>
        <v>0</v>
      </c>
      <c r="E88" s="9">
        <v>42.94</v>
      </c>
      <c r="F88" s="16">
        <f t="shared" si="4"/>
        <v>4.890544946436909E-3</v>
      </c>
      <c r="G88" s="40"/>
      <c r="H88" s="16"/>
      <c r="I88" s="16"/>
      <c r="J88">
        <v>23.62</v>
      </c>
      <c r="K88">
        <f t="shared" si="5"/>
        <v>33.067999999999998</v>
      </c>
      <c r="L88" s="16">
        <f t="shared" ref="L88:L97" si="6">(C88-K88)/K88</f>
        <v>0.30488689972178545</v>
      </c>
    </row>
    <row r="89" spans="1:12" ht="12.75" customHeight="1">
      <c r="A89" s="1" t="s">
        <v>3576</v>
      </c>
      <c r="B89" s="7">
        <v>43.25</v>
      </c>
      <c r="C89" s="7">
        <v>43.25</v>
      </c>
      <c r="D89" s="16">
        <f t="shared" si="3"/>
        <v>0</v>
      </c>
      <c r="E89" s="9">
        <v>42.94</v>
      </c>
      <c r="F89" s="16">
        <f t="shared" si="4"/>
        <v>7.2193758733116505E-3</v>
      </c>
      <c r="G89" s="40"/>
      <c r="H89" s="16"/>
      <c r="I89" s="16"/>
      <c r="J89">
        <v>23.62</v>
      </c>
      <c r="K89">
        <f t="shared" si="5"/>
        <v>33.067999999999998</v>
      </c>
      <c r="L89" s="16">
        <f t="shared" si="6"/>
        <v>0.30791097133180123</v>
      </c>
    </row>
    <row r="90" spans="1:12" ht="12.75" customHeight="1">
      <c r="A90" s="1" t="s">
        <v>3577</v>
      </c>
      <c r="B90" s="7">
        <v>43.34</v>
      </c>
      <c r="C90" s="7">
        <v>43.34</v>
      </c>
      <c r="D90" s="16">
        <f t="shared" si="3"/>
        <v>0</v>
      </c>
      <c r="E90" s="9">
        <v>42.94</v>
      </c>
      <c r="F90" s="16">
        <f t="shared" si="4"/>
        <v>9.3153237074989678E-3</v>
      </c>
      <c r="G90" s="40"/>
      <c r="H90" s="16"/>
      <c r="I90" s="16"/>
      <c r="J90">
        <v>23.62</v>
      </c>
      <c r="K90">
        <f t="shared" si="5"/>
        <v>33.067999999999998</v>
      </c>
      <c r="L90" s="16">
        <f t="shared" si="6"/>
        <v>0.31063263578081546</v>
      </c>
    </row>
    <row r="91" spans="1:12" ht="12.75" customHeight="1">
      <c r="A91" s="1" t="s">
        <v>3579</v>
      </c>
      <c r="B91" s="7">
        <v>43.44</v>
      </c>
      <c r="C91" s="7">
        <v>43.44</v>
      </c>
      <c r="D91" s="16">
        <f t="shared" si="3"/>
        <v>0</v>
      </c>
      <c r="E91" s="9">
        <v>42.94</v>
      </c>
      <c r="F91" s="16">
        <f t="shared" si="4"/>
        <v>1.1644154634373545E-2</v>
      </c>
      <c r="G91" s="40"/>
      <c r="H91" s="16"/>
      <c r="I91" s="16"/>
      <c r="J91">
        <v>23.62</v>
      </c>
      <c r="K91">
        <f t="shared" si="5"/>
        <v>33.067999999999998</v>
      </c>
      <c r="L91" s="16">
        <f t="shared" si="6"/>
        <v>0.31365670739083101</v>
      </c>
    </row>
    <row r="92" spans="1:12" ht="12.75" customHeight="1">
      <c r="A92" s="1" t="s">
        <v>3777</v>
      </c>
      <c r="B92" s="7">
        <v>46.1</v>
      </c>
      <c r="C92" s="7">
        <v>46.1</v>
      </c>
      <c r="D92" s="16">
        <f t="shared" si="3"/>
        <v>0</v>
      </c>
      <c r="E92" s="9">
        <v>42.94</v>
      </c>
      <c r="F92" s="16">
        <f t="shared" si="4"/>
        <v>7.3591057289240897E-2</v>
      </c>
      <c r="G92" s="40"/>
      <c r="H92" s="16"/>
      <c r="I92" s="16"/>
      <c r="J92">
        <v>23.62</v>
      </c>
      <c r="K92">
        <f t="shared" si="5"/>
        <v>33.067999999999998</v>
      </c>
      <c r="L92" s="16">
        <f t="shared" si="6"/>
        <v>0.39409701221724946</v>
      </c>
    </row>
    <row r="93" spans="1:12" ht="12.75" customHeight="1">
      <c r="A93" s="1" t="s">
        <v>3778</v>
      </c>
      <c r="B93" s="7">
        <v>45.6</v>
      </c>
      <c r="C93" s="7">
        <v>45.6</v>
      </c>
      <c r="D93" s="16">
        <f t="shared" si="3"/>
        <v>0</v>
      </c>
      <c r="E93" s="9">
        <v>42.94</v>
      </c>
      <c r="F93" s="16">
        <f t="shared" si="4"/>
        <v>6.1946902654867346E-2</v>
      </c>
      <c r="G93" s="40"/>
      <c r="H93" s="16"/>
      <c r="I93" s="16"/>
      <c r="J93">
        <v>23.62</v>
      </c>
      <c r="K93">
        <f t="shared" si="5"/>
        <v>33.067999999999998</v>
      </c>
      <c r="L93" s="16">
        <f t="shared" si="6"/>
        <v>0.3789766541671708</v>
      </c>
    </row>
    <row r="94" spans="1:12" ht="12.75" customHeight="1">
      <c r="A94" s="1" t="s">
        <v>3779</v>
      </c>
      <c r="B94" s="7">
        <v>45.35</v>
      </c>
      <c r="C94" s="7">
        <v>45.35</v>
      </c>
      <c r="D94" s="16">
        <f t="shared" si="3"/>
        <v>0</v>
      </c>
      <c r="E94" s="9">
        <v>42.94</v>
      </c>
      <c r="F94" s="16">
        <f t="shared" si="4"/>
        <v>5.6124825337680574E-2</v>
      </c>
      <c r="G94" s="40"/>
      <c r="H94" s="16"/>
      <c r="I94" s="16"/>
      <c r="J94">
        <v>23.62</v>
      </c>
      <c r="K94">
        <f t="shared" si="5"/>
        <v>33.067999999999998</v>
      </c>
      <c r="L94" s="16">
        <f t="shared" si="6"/>
        <v>0.3714164751421315</v>
      </c>
    </row>
    <row r="95" spans="1:12" ht="12.75" customHeight="1">
      <c r="A95" s="1" t="s">
        <v>3780</v>
      </c>
      <c r="B95" s="7">
        <v>45.96</v>
      </c>
      <c r="C95" s="7">
        <v>45.96</v>
      </c>
      <c r="D95" s="16">
        <f t="shared" si="3"/>
        <v>0</v>
      </c>
      <c r="E95" s="9">
        <v>42.94</v>
      </c>
      <c r="F95" s="16">
        <f t="shared" si="4"/>
        <v>7.0330693991616289E-2</v>
      </c>
      <c r="G95" s="40"/>
      <c r="H95" s="16"/>
      <c r="I95" s="16"/>
      <c r="J95">
        <v>23.62</v>
      </c>
      <c r="K95">
        <f t="shared" si="5"/>
        <v>33.067999999999998</v>
      </c>
      <c r="L95" s="16">
        <f t="shared" si="6"/>
        <v>0.38986331196322743</v>
      </c>
    </row>
    <row r="96" spans="1:12" ht="12.75" customHeight="1">
      <c r="A96" s="1" t="s">
        <v>3781</v>
      </c>
      <c r="B96" s="7">
        <v>45.6</v>
      </c>
      <c r="C96" s="7">
        <v>45.6</v>
      </c>
      <c r="D96" s="16">
        <f t="shared" si="3"/>
        <v>0</v>
      </c>
      <c r="E96" s="9">
        <v>42.94</v>
      </c>
      <c r="F96" s="16">
        <f t="shared" si="4"/>
        <v>6.1946902654867346E-2</v>
      </c>
      <c r="G96" s="40"/>
      <c r="H96" s="16"/>
      <c r="I96" s="16"/>
      <c r="J96">
        <v>23.62</v>
      </c>
      <c r="K96">
        <f t="shared" si="5"/>
        <v>33.067999999999998</v>
      </c>
      <c r="L96" s="16">
        <f t="shared" si="6"/>
        <v>0.3789766541671708</v>
      </c>
    </row>
    <row r="97" spans="1:12" ht="12.75" customHeight="1">
      <c r="A97" s="1" t="s">
        <v>3593</v>
      </c>
      <c r="B97" s="7">
        <v>44.67</v>
      </c>
      <c r="C97" s="7">
        <v>44.67</v>
      </c>
      <c r="D97" s="16">
        <f t="shared" si="3"/>
        <v>0</v>
      </c>
      <c r="E97" s="9">
        <v>42.94</v>
      </c>
      <c r="F97" s="16">
        <f t="shared" si="4"/>
        <v>4.0288775034932556E-2</v>
      </c>
      <c r="G97" s="40"/>
      <c r="H97" s="16"/>
      <c r="I97" s="16"/>
      <c r="J97">
        <v>23.62</v>
      </c>
      <c r="K97">
        <f t="shared" si="5"/>
        <v>33.067999999999998</v>
      </c>
      <c r="L97" s="16">
        <f t="shared" si="6"/>
        <v>0.3508527881940246</v>
      </c>
    </row>
    <row r="98" spans="1:12" ht="12.75" customHeight="1">
      <c r="A98" s="1" t="s">
        <v>3782</v>
      </c>
      <c r="B98" s="7"/>
      <c r="C98" s="7"/>
      <c r="D98" s="16"/>
      <c r="E98" s="9"/>
      <c r="F98" s="16"/>
      <c r="G98" s="40"/>
      <c r="H98" s="16"/>
      <c r="I98" s="16"/>
      <c r="K98">
        <f t="shared" si="5"/>
        <v>0</v>
      </c>
      <c r="L98" s="16"/>
    </row>
    <row r="99" spans="1:12" ht="12.75" customHeight="1">
      <c r="A99" s="1" t="s">
        <v>3783</v>
      </c>
      <c r="B99" s="7"/>
      <c r="C99" s="7"/>
      <c r="D99" s="16"/>
      <c r="E99" s="9"/>
      <c r="F99" s="16"/>
      <c r="G99" s="40"/>
      <c r="H99" s="16"/>
      <c r="I99" s="16"/>
      <c r="K99">
        <f t="shared" si="5"/>
        <v>0</v>
      </c>
      <c r="L99" s="16"/>
    </row>
    <row r="100" spans="1:12">
      <c r="A100" s="1"/>
      <c r="B100" s="7"/>
      <c r="C100" s="7"/>
      <c r="D100" s="16"/>
      <c r="E100" s="9"/>
      <c r="F100" s="16"/>
      <c r="G100" s="40"/>
      <c r="H100" s="16"/>
      <c r="I100" s="16"/>
      <c r="K100">
        <f t="shared" si="5"/>
        <v>0</v>
      </c>
      <c r="L100" s="16"/>
    </row>
    <row r="101" spans="1:12">
      <c r="A101" s="1"/>
      <c r="B101" s="7"/>
      <c r="C101" s="7"/>
      <c r="D101" s="16"/>
      <c r="E101" s="9"/>
      <c r="F101" s="16"/>
      <c r="G101" s="40"/>
      <c r="H101" s="16"/>
      <c r="I101" s="16"/>
      <c r="K101">
        <f t="shared" si="5"/>
        <v>0</v>
      </c>
      <c r="L101" s="16"/>
    </row>
    <row r="102" spans="1:12" ht="25.5" customHeight="1">
      <c r="A102" s="2" t="s">
        <v>3585</v>
      </c>
      <c r="B102" s="12" t="s">
        <v>3689</v>
      </c>
      <c r="C102" s="31" t="s">
        <v>3981</v>
      </c>
      <c r="D102" s="43"/>
      <c r="E102" s="44"/>
      <c r="F102" s="43"/>
      <c r="G102" s="23" t="s">
        <v>3983</v>
      </c>
      <c r="H102" s="43">
        <f>AVERAGE(F103:F105)</f>
        <v>7.7675176534492199E-2</v>
      </c>
      <c r="I102" s="43"/>
      <c r="J102" s="8"/>
      <c r="K102">
        <f t="shared" si="5"/>
        <v>0</v>
      </c>
      <c r="L102" s="43"/>
    </row>
    <row r="103" spans="1:12" ht="12.75" customHeight="1">
      <c r="A103" s="1" t="s">
        <v>3784</v>
      </c>
      <c r="B103" s="7">
        <v>57.06</v>
      </c>
      <c r="C103" s="7">
        <v>56.23</v>
      </c>
      <c r="D103" s="16">
        <f>(C103-B103)/B103</f>
        <v>-1.4546091833158173E-2</v>
      </c>
      <c r="E103" s="9">
        <v>55.23</v>
      </c>
      <c r="F103" s="16">
        <f>(C103-E103)/E103</f>
        <v>1.8106101756291872E-2</v>
      </c>
      <c r="G103" s="40"/>
      <c r="H103" s="16"/>
      <c r="I103" s="16"/>
      <c r="K103">
        <f t="shared" si="5"/>
        <v>0</v>
      </c>
      <c r="L103" s="16"/>
    </row>
    <row r="104" spans="1:12" ht="12.75" customHeight="1">
      <c r="A104" s="1" t="s">
        <v>3588</v>
      </c>
      <c r="B104" s="7">
        <v>59.56</v>
      </c>
      <c r="C104" s="7">
        <v>59.52</v>
      </c>
      <c r="D104" s="16">
        <f>(C104-B104)/B104</f>
        <v>-6.7159167226324955E-4</v>
      </c>
      <c r="E104" s="9">
        <v>55.23</v>
      </c>
      <c r="F104" s="16">
        <f>(C104-E104)/E104</f>
        <v>7.7675176534492241E-2</v>
      </c>
      <c r="G104" s="40"/>
      <c r="H104" s="16"/>
      <c r="I104" s="16"/>
      <c r="K104">
        <f t="shared" si="5"/>
        <v>0</v>
      </c>
      <c r="L104" s="16"/>
    </row>
    <row r="105" spans="1:12" ht="12.75" customHeight="1">
      <c r="A105" s="1" t="s">
        <v>3589</v>
      </c>
      <c r="B105" s="7">
        <v>61.06</v>
      </c>
      <c r="C105" s="7">
        <v>62.81</v>
      </c>
      <c r="D105" s="16">
        <f>(C105-B105)/B105</f>
        <v>2.866033409760891E-2</v>
      </c>
      <c r="E105" s="9">
        <v>55.23</v>
      </c>
      <c r="F105" s="16">
        <f>(C105-E105)/E105</f>
        <v>0.13724425131269249</v>
      </c>
      <c r="G105" s="40"/>
      <c r="H105" s="16"/>
      <c r="I105" s="16"/>
      <c r="K105">
        <f t="shared" si="5"/>
        <v>0</v>
      </c>
      <c r="L105" s="16"/>
    </row>
    <row r="106" spans="1:12">
      <c r="A106" s="1"/>
      <c r="B106" s="7"/>
      <c r="C106" s="7"/>
      <c r="D106" s="16"/>
      <c r="E106" s="9"/>
      <c r="F106" s="16"/>
      <c r="G106" s="40"/>
      <c r="H106" s="16"/>
      <c r="I106" s="16"/>
      <c r="K106">
        <f t="shared" si="5"/>
        <v>0</v>
      </c>
      <c r="L106" s="16"/>
    </row>
    <row r="107" spans="1:12" ht="12.75" customHeight="1">
      <c r="A107" s="2" t="s">
        <v>3925</v>
      </c>
      <c r="B107" s="12" t="s">
        <v>3510</v>
      </c>
      <c r="C107" s="31" t="s">
        <v>3497</v>
      </c>
      <c r="D107" s="43"/>
      <c r="E107" s="44"/>
      <c r="F107" s="43"/>
      <c r="G107" s="23" t="s">
        <v>3983</v>
      </c>
      <c r="H107" s="43">
        <f>AVERAGE(F108:F111)</f>
        <v>-0.45407725321888409</v>
      </c>
      <c r="I107" s="43"/>
      <c r="J107" s="8"/>
      <c r="K107">
        <f t="shared" si="5"/>
        <v>0</v>
      </c>
      <c r="L107" s="43"/>
    </row>
    <row r="108" spans="1:12" ht="12.75" customHeight="1">
      <c r="A108" s="1" t="s">
        <v>3786</v>
      </c>
      <c r="B108" s="7">
        <v>49.7</v>
      </c>
      <c r="C108" s="7">
        <v>25.44</v>
      </c>
      <c r="D108" s="16">
        <f>(C108-B108)/B108</f>
        <v>-0.48812877263581489</v>
      </c>
      <c r="E108" s="9">
        <v>46.6</v>
      </c>
      <c r="F108" s="16">
        <f>(C108-E108)/E108</f>
        <v>-0.45407725321888409</v>
      </c>
      <c r="G108" s="40"/>
      <c r="H108" s="16"/>
      <c r="I108" s="16"/>
      <c r="K108">
        <f t="shared" si="5"/>
        <v>0</v>
      </c>
      <c r="L108" s="16"/>
    </row>
    <row r="109" spans="1:12" ht="12.75" customHeight="1">
      <c r="A109" s="1" t="s">
        <v>3787</v>
      </c>
      <c r="B109" s="7">
        <v>50.7</v>
      </c>
      <c r="C109" s="7">
        <v>25.44</v>
      </c>
      <c r="D109" s="16">
        <f>(C109-B109)/B109</f>
        <v>-0.49822485207100592</v>
      </c>
      <c r="E109" s="9">
        <v>46.6</v>
      </c>
      <c r="F109" s="16">
        <f>(C109-E109)/E109</f>
        <v>-0.45407725321888409</v>
      </c>
      <c r="G109" s="40"/>
      <c r="H109" s="16"/>
      <c r="I109" s="16"/>
      <c r="K109">
        <f t="shared" si="5"/>
        <v>0</v>
      </c>
      <c r="L109" s="16"/>
    </row>
    <row r="110" spans="1:12" ht="12.75" customHeight="1">
      <c r="A110" s="1" t="s">
        <v>3788</v>
      </c>
      <c r="B110" s="7">
        <v>53.01</v>
      </c>
      <c r="C110" s="7">
        <v>25.44</v>
      </c>
      <c r="D110" s="16">
        <f>(C110-B110)/B110</f>
        <v>-0.52009054895302764</v>
      </c>
      <c r="E110" s="9">
        <v>46.6</v>
      </c>
      <c r="F110" s="16">
        <f>(C110-E110)/E110</f>
        <v>-0.45407725321888409</v>
      </c>
      <c r="G110" s="40"/>
      <c r="H110" s="16"/>
      <c r="I110" s="16"/>
      <c r="K110">
        <f t="shared" si="5"/>
        <v>0</v>
      </c>
      <c r="L110" s="16"/>
    </row>
    <row r="111" spans="1:12" ht="12.75" customHeight="1">
      <c r="A111" s="1" t="s">
        <v>3789</v>
      </c>
      <c r="B111" s="7">
        <v>56.65</v>
      </c>
      <c r="C111" s="7">
        <v>25.44</v>
      </c>
      <c r="D111" s="16">
        <f>(C111-B111)/B111</f>
        <v>-0.55092674315975287</v>
      </c>
      <c r="E111" s="9">
        <v>46.6</v>
      </c>
      <c r="F111" s="16">
        <f>(C111-E111)/E111</f>
        <v>-0.45407725321888409</v>
      </c>
      <c r="G111" s="40"/>
      <c r="H111" s="16"/>
      <c r="I111" s="16"/>
      <c r="K111">
        <f t="shared" si="5"/>
        <v>0</v>
      </c>
      <c r="L111" s="16"/>
    </row>
    <row r="112" spans="1:12">
      <c r="A112" s="1"/>
      <c r="B112" s="7"/>
      <c r="C112" s="7"/>
      <c r="D112" s="16"/>
      <c r="E112" s="9"/>
      <c r="F112" s="16"/>
      <c r="G112" s="40"/>
      <c r="H112" s="16"/>
      <c r="I112" s="16"/>
      <c r="K112">
        <f t="shared" si="5"/>
        <v>0</v>
      </c>
      <c r="L112" s="16"/>
    </row>
    <row r="113" spans="1:12">
      <c r="A113" s="1"/>
      <c r="B113" s="7"/>
      <c r="C113" s="7"/>
      <c r="D113" s="16"/>
      <c r="E113" s="9"/>
      <c r="F113" s="16"/>
      <c r="G113" s="40"/>
      <c r="H113" s="16"/>
      <c r="I113" s="16"/>
      <c r="K113">
        <f t="shared" si="5"/>
        <v>0</v>
      </c>
      <c r="L113" s="16"/>
    </row>
    <row r="114" spans="1:12">
      <c r="A114" s="1"/>
      <c r="B114" s="7"/>
      <c r="C114" s="7"/>
      <c r="D114" s="16"/>
      <c r="E114" s="9"/>
      <c r="F114" s="16"/>
      <c r="G114" s="40"/>
      <c r="H114" s="16"/>
      <c r="I114" s="16"/>
      <c r="K114">
        <f t="shared" si="5"/>
        <v>0</v>
      </c>
      <c r="L114" s="16"/>
    </row>
    <row r="115" spans="1:12" ht="12.75" customHeight="1">
      <c r="A115" s="2" t="s">
        <v>3592</v>
      </c>
      <c r="B115" s="10"/>
      <c r="C115" s="10"/>
      <c r="D115" s="43"/>
      <c r="E115" s="44"/>
      <c r="F115" s="8"/>
      <c r="G115" s="50" t="s">
        <v>3983</v>
      </c>
      <c r="H115" s="43">
        <f>AVERAGE(F117:F230)</f>
        <v>4.7213829351965504E-2</v>
      </c>
      <c r="I115" s="43"/>
      <c r="J115" s="8"/>
      <c r="K115">
        <f t="shared" si="5"/>
        <v>0</v>
      </c>
      <c r="L115" s="43"/>
    </row>
    <row r="116" spans="1:12" ht="12.75" customHeight="1">
      <c r="A116" s="3" t="s">
        <v>3569</v>
      </c>
      <c r="B116" s="12" t="s">
        <v>3510</v>
      </c>
      <c r="C116" s="12" t="s">
        <v>3510</v>
      </c>
      <c r="D116" s="16"/>
      <c r="E116" s="9"/>
      <c r="F116" s="16"/>
      <c r="G116" s="40"/>
      <c r="H116" s="16"/>
      <c r="I116" s="16"/>
      <c r="K116">
        <f t="shared" si="5"/>
        <v>0</v>
      </c>
      <c r="L116" s="16"/>
    </row>
    <row r="117" spans="1:12" ht="12.75" customHeight="1">
      <c r="A117" s="1" t="s">
        <v>3573</v>
      </c>
      <c r="B117" s="7">
        <v>53.92</v>
      </c>
      <c r="C117" s="7">
        <v>55.67</v>
      </c>
      <c r="D117" s="16">
        <f t="shared" ref="D117:D141" si="7">(C117-B117)/B117</f>
        <v>3.245548961424332E-2</v>
      </c>
      <c r="E117" s="9">
        <v>57.12</v>
      </c>
      <c r="F117" s="16">
        <f t="shared" ref="F117:F141" si="8">(C117-E117)/E117</f>
        <v>-2.5385154061624577E-2</v>
      </c>
      <c r="G117" s="40"/>
      <c r="H117" s="16"/>
      <c r="I117" s="16"/>
      <c r="J117">
        <v>19.260000000000002</v>
      </c>
      <c r="K117">
        <f t="shared" si="5"/>
        <v>26.964000000000002</v>
      </c>
      <c r="L117" s="16">
        <f>(C117-K117)/K117</f>
        <v>1.0646046580626018</v>
      </c>
    </row>
    <row r="118" spans="1:12" ht="12.75" customHeight="1">
      <c r="A118" s="1" t="s">
        <v>3575</v>
      </c>
      <c r="B118" s="7">
        <v>54.87</v>
      </c>
      <c r="C118" s="7">
        <v>56.62</v>
      </c>
      <c r="D118" s="16">
        <f t="shared" si="7"/>
        <v>3.1893566611991983E-2</v>
      </c>
      <c r="E118" s="9">
        <v>57.12</v>
      </c>
      <c r="F118" s="16">
        <f t="shared" si="8"/>
        <v>-8.7535014005602242E-3</v>
      </c>
      <c r="G118" s="40"/>
      <c r="H118" s="16"/>
      <c r="I118" s="16"/>
      <c r="J118">
        <v>19.260000000000002</v>
      </c>
      <c r="K118">
        <f t="shared" si="5"/>
        <v>26.964000000000002</v>
      </c>
      <c r="L118" s="16">
        <f t="shared" ref="L118:L181" si="9">(C118-K118)/K118</f>
        <v>1.0998368194629875</v>
      </c>
    </row>
    <row r="119" spans="1:12" ht="12.75" customHeight="1">
      <c r="A119" s="1" t="s">
        <v>3576</v>
      </c>
      <c r="B119" s="7">
        <v>55.16</v>
      </c>
      <c r="C119" s="7">
        <v>56.91</v>
      </c>
      <c r="D119" s="16">
        <f t="shared" si="7"/>
        <v>3.1725888324873101E-2</v>
      </c>
      <c r="E119" s="9">
        <v>57.12</v>
      </c>
      <c r="F119" s="16">
        <f t="shared" si="8"/>
        <v>-3.6764705882353092E-3</v>
      </c>
      <c r="G119" s="40"/>
      <c r="H119" s="16"/>
      <c r="I119" s="16"/>
      <c r="J119">
        <v>19.260000000000002</v>
      </c>
      <c r="K119">
        <f t="shared" si="5"/>
        <v>26.964000000000002</v>
      </c>
      <c r="L119" s="16">
        <f t="shared" si="9"/>
        <v>1.1105919003115261</v>
      </c>
    </row>
    <row r="120" spans="1:12" ht="12.75" customHeight="1">
      <c r="A120" s="1" t="s">
        <v>3577</v>
      </c>
      <c r="B120" s="7">
        <v>56.65</v>
      </c>
      <c r="C120" s="7">
        <v>58.4</v>
      </c>
      <c r="D120" s="16">
        <f t="shared" si="7"/>
        <v>3.089143865842895E-2</v>
      </c>
      <c r="E120" s="9">
        <v>57.12</v>
      </c>
      <c r="F120" s="16">
        <f t="shared" si="8"/>
        <v>2.2408963585434195E-2</v>
      </c>
      <c r="G120" s="40"/>
      <c r="H120" s="16"/>
      <c r="I120" s="16"/>
      <c r="J120">
        <v>19.260000000000002</v>
      </c>
      <c r="K120">
        <f t="shared" si="5"/>
        <v>26.964000000000002</v>
      </c>
      <c r="L120" s="16">
        <f t="shared" si="9"/>
        <v>1.1658507639816049</v>
      </c>
    </row>
    <row r="121" spans="1:12" ht="12.75" customHeight="1">
      <c r="A121" s="1" t="s">
        <v>3579</v>
      </c>
      <c r="B121" s="7">
        <v>57.75</v>
      </c>
      <c r="C121" s="7">
        <v>59.5</v>
      </c>
      <c r="D121" s="16">
        <f t="shared" si="7"/>
        <v>3.0303030303030304E-2</v>
      </c>
      <c r="E121" s="9">
        <v>57.12</v>
      </c>
      <c r="F121" s="16">
        <f t="shared" si="8"/>
        <v>4.1666666666666713E-2</v>
      </c>
      <c r="G121" s="40"/>
      <c r="H121" s="16"/>
      <c r="I121" s="16"/>
      <c r="J121">
        <v>19.260000000000002</v>
      </c>
      <c r="K121">
        <f t="shared" si="5"/>
        <v>26.964000000000002</v>
      </c>
      <c r="L121" s="16">
        <f t="shared" si="9"/>
        <v>1.2066458982346833</v>
      </c>
    </row>
    <row r="122" spans="1:12" ht="12.75" customHeight="1">
      <c r="A122" s="1" t="s">
        <v>3580</v>
      </c>
      <c r="B122" s="7">
        <v>56.87</v>
      </c>
      <c r="C122" s="7">
        <v>58.62</v>
      </c>
      <c r="D122" s="16">
        <f t="shared" si="7"/>
        <v>3.0771935994373133E-2</v>
      </c>
      <c r="E122" s="9">
        <v>57.12</v>
      </c>
      <c r="F122" s="16">
        <f t="shared" si="8"/>
        <v>2.6260504201680673E-2</v>
      </c>
      <c r="G122" s="40"/>
      <c r="H122" s="16"/>
      <c r="I122" s="16"/>
      <c r="J122">
        <v>19.260000000000002</v>
      </c>
      <c r="K122">
        <f t="shared" si="5"/>
        <v>26.964000000000002</v>
      </c>
      <c r="L122" s="16">
        <f t="shared" si="9"/>
        <v>1.1740097908322205</v>
      </c>
    </row>
    <row r="123" spans="1:12" ht="12.75" customHeight="1">
      <c r="A123" s="1" t="s">
        <v>3593</v>
      </c>
      <c r="B123" s="7">
        <v>57.97</v>
      </c>
      <c r="C123" s="7">
        <v>59.72</v>
      </c>
      <c r="D123" s="16">
        <f t="shared" si="7"/>
        <v>3.0188028290495085E-2</v>
      </c>
      <c r="E123" s="9">
        <v>57.12</v>
      </c>
      <c r="F123" s="16">
        <f t="shared" si="8"/>
        <v>4.5518207282913191E-2</v>
      </c>
      <c r="G123" s="40"/>
      <c r="H123" s="16"/>
      <c r="I123" s="16"/>
      <c r="J123">
        <v>19.260000000000002</v>
      </c>
      <c r="K123">
        <f t="shared" si="5"/>
        <v>26.964000000000002</v>
      </c>
      <c r="L123" s="16">
        <f t="shared" si="9"/>
        <v>1.2148049250852988</v>
      </c>
    </row>
    <row r="124" spans="1:12" ht="12.75" customHeight="1">
      <c r="A124" s="1" t="s">
        <v>3594</v>
      </c>
      <c r="B124" s="7">
        <v>56.98</v>
      </c>
      <c r="C124" s="7">
        <v>58.73</v>
      </c>
      <c r="D124" s="16">
        <f t="shared" si="7"/>
        <v>3.0712530712530713E-2</v>
      </c>
      <c r="E124" s="9">
        <v>57.12</v>
      </c>
      <c r="F124" s="16">
        <f t="shared" si="8"/>
        <v>2.8186274509803912E-2</v>
      </c>
      <c r="G124" s="40"/>
      <c r="H124" s="16"/>
      <c r="I124" s="16"/>
      <c r="J124">
        <v>19.260000000000002</v>
      </c>
      <c r="K124">
        <f t="shared" si="5"/>
        <v>26.964000000000002</v>
      </c>
      <c r="L124" s="16">
        <f t="shared" si="9"/>
        <v>1.1780893042575282</v>
      </c>
    </row>
    <row r="125" spans="1:12" ht="12.75" customHeight="1">
      <c r="A125" s="1" t="s">
        <v>3595</v>
      </c>
      <c r="B125" s="7">
        <v>58.08</v>
      </c>
      <c r="C125" s="7">
        <v>59.83</v>
      </c>
      <c r="D125" s="16">
        <f t="shared" si="7"/>
        <v>3.0130853994490361E-2</v>
      </c>
      <c r="E125" s="9">
        <v>57.12</v>
      </c>
      <c r="F125" s="16">
        <f t="shared" si="8"/>
        <v>4.7443977591036433E-2</v>
      </c>
      <c r="G125" s="40"/>
      <c r="H125" s="16"/>
      <c r="I125" s="16"/>
      <c r="J125">
        <v>19.260000000000002</v>
      </c>
      <c r="K125">
        <f t="shared" si="5"/>
        <v>26.964000000000002</v>
      </c>
      <c r="L125" s="16">
        <f t="shared" si="9"/>
        <v>1.2188844385106066</v>
      </c>
    </row>
    <row r="126" spans="1:12" ht="12.75" customHeight="1">
      <c r="A126" s="1" t="s">
        <v>3596</v>
      </c>
      <c r="B126" s="7">
        <v>57.1</v>
      </c>
      <c r="C126" s="7">
        <v>58.85</v>
      </c>
      <c r="D126" s="16">
        <f t="shared" si="7"/>
        <v>3.0647985989492119E-2</v>
      </c>
      <c r="E126" s="9">
        <v>57.12</v>
      </c>
      <c r="F126" s="16">
        <f t="shared" si="8"/>
        <v>3.0287114845938445E-2</v>
      </c>
      <c r="G126" s="40"/>
      <c r="H126" s="16"/>
      <c r="I126" s="16"/>
      <c r="J126">
        <v>19.260000000000002</v>
      </c>
      <c r="K126">
        <f t="shared" si="5"/>
        <v>26.964000000000002</v>
      </c>
      <c r="L126" s="16">
        <f t="shared" si="9"/>
        <v>1.1825396825396823</v>
      </c>
    </row>
    <row r="127" spans="1:12" ht="12.75" customHeight="1">
      <c r="A127" s="1" t="s">
        <v>3598</v>
      </c>
      <c r="B127" s="7">
        <v>58.2</v>
      </c>
      <c r="C127" s="7">
        <v>59.95</v>
      </c>
      <c r="D127" s="16">
        <f t="shared" si="7"/>
        <v>3.0068728522336767E-2</v>
      </c>
      <c r="E127" s="9">
        <v>57.12</v>
      </c>
      <c r="F127" s="16">
        <f t="shared" si="8"/>
        <v>4.9544817927170963E-2</v>
      </c>
      <c r="G127" s="40"/>
      <c r="H127" s="16"/>
      <c r="I127" s="16"/>
      <c r="J127">
        <v>19.260000000000002</v>
      </c>
      <c r="K127">
        <f t="shared" si="5"/>
        <v>26.964000000000002</v>
      </c>
      <c r="L127" s="16">
        <f t="shared" si="9"/>
        <v>1.2233348167927607</v>
      </c>
    </row>
    <row r="128" spans="1:12" ht="12.75" customHeight="1">
      <c r="A128" s="1" t="s">
        <v>3790</v>
      </c>
      <c r="B128" s="7">
        <v>57.27</v>
      </c>
      <c r="C128" s="7">
        <v>59.02</v>
      </c>
      <c r="D128" s="16">
        <f t="shared" si="7"/>
        <v>3.0557010651300853E-2</v>
      </c>
      <c r="E128" s="9">
        <v>57.12</v>
      </c>
      <c r="F128" s="16">
        <f t="shared" si="8"/>
        <v>3.3263305322128955E-2</v>
      </c>
      <c r="G128" s="40"/>
      <c r="H128" s="16"/>
      <c r="I128" s="16"/>
      <c r="J128">
        <v>19.260000000000002</v>
      </c>
      <c r="K128">
        <f t="shared" si="5"/>
        <v>26.964000000000002</v>
      </c>
      <c r="L128" s="16">
        <f t="shared" si="9"/>
        <v>1.188844385106067</v>
      </c>
    </row>
    <row r="129" spans="1:12" ht="12.75" customHeight="1">
      <c r="A129" s="1" t="s">
        <v>3791</v>
      </c>
      <c r="B129" s="7">
        <v>57.37</v>
      </c>
      <c r="C129" s="7">
        <v>59.12</v>
      </c>
      <c r="D129" s="16">
        <f t="shared" si="7"/>
        <v>3.0503747603276975E-2</v>
      </c>
      <c r="E129" s="9">
        <v>57.12</v>
      </c>
      <c r="F129" s="16">
        <f t="shared" si="8"/>
        <v>3.5014005602240897E-2</v>
      </c>
      <c r="G129" s="40"/>
      <c r="H129" s="16"/>
      <c r="I129" s="16"/>
      <c r="J129">
        <v>19.260000000000002</v>
      </c>
      <c r="K129">
        <f t="shared" si="5"/>
        <v>26.964000000000002</v>
      </c>
      <c r="L129" s="16">
        <f t="shared" si="9"/>
        <v>1.1925530336745287</v>
      </c>
    </row>
    <row r="130" spans="1:12" ht="12.75" customHeight="1">
      <c r="A130" s="1" t="s">
        <v>3792</v>
      </c>
      <c r="B130" s="7">
        <v>57.4</v>
      </c>
      <c r="C130" s="7">
        <v>59.15</v>
      </c>
      <c r="D130" s="16">
        <f t="shared" si="7"/>
        <v>3.048780487804878E-2</v>
      </c>
      <c r="E130" s="9">
        <v>57.12</v>
      </c>
      <c r="F130" s="16">
        <f t="shared" si="8"/>
        <v>3.5539215686274529E-2</v>
      </c>
      <c r="G130" s="40"/>
      <c r="H130" s="16"/>
      <c r="I130" s="16"/>
      <c r="J130">
        <v>19.260000000000002</v>
      </c>
      <c r="K130">
        <f t="shared" si="5"/>
        <v>26.964000000000002</v>
      </c>
      <c r="L130" s="16">
        <f t="shared" si="9"/>
        <v>1.1936656282450671</v>
      </c>
    </row>
    <row r="131" spans="1:12" ht="12.75" customHeight="1">
      <c r="A131" s="1" t="s">
        <v>3793</v>
      </c>
      <c r="B131" s="7">
        <v>57.48</v>
      </c>
      <c r="C131" s="7">
        <v>59.23</v>
      </c>
      <c r="D131" s="16">
        <f t="shared" si="7"/>
        <v>3.0445372303409882E-2</v>
      </c>
      <c r="E131" s="9">
        <v>57.12</v>
      </c>
      <c r="F131" s="16">
        <f t="shared" si="8"/>
        <v>3.6939775910364139E-2</v>
      </c>
      <c r="G131" s="40"/>
      <c r="H131" s="16"/>
      <c r="I131" s="16"/>
      <c r="J131">
        <v>19.260000000000002</v>
      </c>
      <c r="K131">
        <f t="shared" si="5"/>
        <v>26.964000000000002</v>
      </c>
      <c r="L131" s="16">
        <f t="shared" si="9"/>
        <v>1.1966325470998365</v>
      </c>
    </row>
    <row r="132" spans="1:12" ht="12.75" customHeight="1">
      <c r="A132" s="1" t="s">
        <v>3794</v>
      </c>
      <c r="B132" s="7">
        <v>57.6</v>
      </c>
      <c r="C132" s="7">
        <v>59.35</v>
      </c>
      <c r="D132" s="16">
        <f t="shared" si="7"/>
        <v>3.0381944444444444E-2</v>
      </c>
      <c r="E132" s="9">
        <v>57.12</v>
      </c>
      <c r="F132" s="16">
        <f t="shared" si="8"/>
        <v>3.9040616246498669E-2</v>
      </c>
      <c r="G132" s="40"/>
      <c r="H132" s="16"/>
      <c r="I132" s="16"/>
      <c r="J132">
        <v>19.260000000000002</v>
      </c>
      <c r="K132">
        <f t="shared" si="5"/>
        <v>26.964000000000002</v>
      </c>
      <c r="L132" s="16">
        <f t="shared" si="9"/>
        <v>1.2010829253819906</v>
      </c>
    </row>
    <row r="133" spans="1:12" ht="12.75" customHeight="1">
      <c r="A133" s="1" t="s">
        <v>3795</v>
      </c>
      <c r="B133" s="7">
        <v>57.77</v>
      </c>
      <c r="C133" s="7">
        <v>59.52</v>
      </c>
      <c r="D133" s="16">
        <f t="shared" si="7"/>
        <v>3.0292539380301194E-2</v>
      </c>
      <c r="E133" s="9">
        <v>57.12</v>
      </c>
      <c r="F133" s="16">
        <f t="shared" si="8"/>
        <v>4.2016806722689176E-2</v>
      </c>
      <c r="G133" s="40"/>
      <c r="H133" s="16"/>
      <c r="I133" s="16"/>
      <c r="J133">
        <v>19.260000000000002</v>
      </c>
      <c r="K133">
        <f t="shared" si="5"/>
        <v>26.964000000000002</v>
      </c>
      <c r="L133" s="16">
        <f t="shared" si="9"/>
        <v>1.2073876279483755</v>
      </c>
    </row>
    <row r="134" spans="1:12" ht="12.75" customHeight="1">
      <c r="A134" s="1" t="s">
        <v>3796</v>
      </c>
      <c r="B134" s="7">
        <v>57.87</v>
      </c>
      <c r="C134" s="7">
        <v>59.62</v>
      </c>
      <c r="D134" s="16">
        <f t="shared" si="7"/>
        <v>3.0240193537238641E-2</v>
      </c>
      <c r="E134" s="9">
        <v>57.12</v>
      </c>
      <c r="F134" s="16">
        <f t="shared" si="8"/>
        <v>4.3767507002801125E-2</v>
      </c>
      <c r="G134" s="40"/>
      <c r="H134" s="16"/>
      <c r="I134" s="16"/>
      <c r="J134">
        <v>19.260000000000002</v>
      </c>
      <c r="K134">
        <f t="shared" si="5"/>
        <v>26.964000000000002</v>
      </c>
      <c r="L134" s="16">
        <f t="shared" si="9"/>
        <v>1.2110962765168369</v>
      </c>
    </row>
    <row r="135" spans="1:12" ht="12.75" customHeight="1">
      <c r="A135" s="1" t="s">
        <v>3797</v>
      </c>
      <c r="B135" s="7">
        <v>57.98</v>
      </c>
      <c r="C135" s="7">
        <v>59.73</v>
      </c>
      <c r="D135" s="16">
        <f t="shared" si="7"/>
        <v>3.0182821662642294E-2</v>
      </c>
      <c r="E135" s="9">
        <v>57.12</v>
      </c>
      <c r="F135" s="16">
        <f t="shared" si="8"/>
        <v>4.569327731092436E-2</v>
      </c>
      <c r="G135" s="40"/>
      <c r="H135" s="16"/>
      <c r="I135" s="16"/>
      <c r="J135">
        <v>19.260000000000002</v>
      </c>
      <c r="K135">
        <f t="shared" si="5"/>
        <v>26.964000000000002</v>
      </c>
      <c r="L135" s="16">
        <f t="shared" si="9"/>
        <v>1.2151757899421447</v>
      </c>
    </row>
    <row r="136" spans="1:12" ht="12.75" customHeight="1">
      <c r="A136" s="1" t="s">
        <v>3798</v>
      </c>
      <c r="B136" s="7">
        <v>58.1</v>
      </c>
      <c r="C136" s="7">
        <v>59.85</v>
      </c>
      <c r="D136" s="16">
        <f t="shared" si="7"/>
        <v>3.0120481927710843E-2</v>
      </c>
      <c r="E136" s="9">
        <v>57.12</v>
      </c>
      <c r="F136" s="16">
        <f t="shared" si="8"/>
        <v>4.7794117647058897E-2</v>
      </c>
      <c r="G136" s="40"/>
      <c r="H136" s="16"/>
      <c r="I136" s="16"/>
      <c r="J136">
        <v>19.260000000000002</v>
      </c>
      <c r="K136">
        <f t="shared" si="5"/>
        <v>26.964000000000002</v>
      </c>
      <c r="L136" s="16">
        <f t="shared" si="9"/>
        <v>1.2196261682242988</v>
      </c>
    </row>
    <row r="137" spans="1:12" ht="12.75" customHeight="1">
      <c r="A137" s="1" t="s">
        <v>3799</v>
      </c>
      <c r="B137" s="7">
        <v>58.27</v>
      </c>
      <c r="C137" s="7">
        <v>60.02</v>
      </c>
      <c r="D137" s="16">
        <f t="shared" si="7"/>
        <v>3.0032606830272868E-2</v>
      </c>
      <c r="E137" s="9">
        <v>57.12</v>
      </c>
      <c r="F137" s="16">
        <f t="shared" si="8"/>
        <v>5.0770308123249404E-2</v>
      </c>
      <c r="G137" s="40"/>
      <c r="H137" s="16"/>
      <c r="I137" s="16"/>
      <c r="J137">
        <v>19.260000000000002</v>
      </c>
      <c r="K137">
        <f t="shared" si="5"/>
        <v>26.964000000000002</v>
      </c>
      <c r="L137" s="16">
        <f t="shared" si="9"/>
        <v>1.2259308707906837</v>
      </c>
    </row>
    <row r="138" spans="1:12" ht="12.75" customHeight="1">
      <c r="A138" s="1" t="s">
        <v>3800</v>
      </c>
      <c r="B138" s="7">
        <v>58.37</v>
      </c>
      <c r="C138" s="7">
        <v>60.12</v>
      </c>
      <c r="D138" s="16">
        <f t="shared" si="7"/>
        <v>2.9981154702758268E-2</v>
      </c>
      <c r="E138" s="9">
        <v>57.12</v>
      </c>
      <c r="F138" s="16">
        <f t="shared" si="8"/>
        <v>5.2521008403361345E-2</v>
      </c>
      <c r="G138" s="40"/>
      <c r="H138" s="16"/>
      <c r="I138" s="16"/>
      <c r="J138">
        <v>19.260000000000002</v>
      </c>
      <c r="K138">
        <f t="shared" si="5"/>
        <v>26.964000000000002</v>
      </c>
      <c r="L138" s="16">
        <f t="shared" si="9"/>
        <v>1.2296395193591452</v>
      </c>
    </row>
    <row r="139" spans="1:12" ht="12.75" customHeight="1">
      <c r="A139" s="1" t="s">
        <v>3801</v>
      </c>
      <c r="B139" s="7">
        <v>58.48</v>
      </c>
      <c r="C139" s="7">
        <v>60.23</v>
      </c>
      <c r="D139" s="16">
        <f t="shared" si="7"/>
        <v>2.9924760601915186E-2</v>
      </c>
      <c r="E139" s="9">
        <v>57.12</v>
      </c>
      <c r="F139" s="16">
        <f t="shared" si="8"/>
        <v>5.4446778711484588E-2</v>
      </c>
      <c r="G139" s="40"/>
      <c r="H139" s="16"/>
      <c r="I139" s="16"/>
      <c r="J139">
        <v>19.260000000000002</v>
      </c>
      <c r="K139">
        <f t="shared" si="5"/>
        <v>26.964000000000002</v>
      </c>
      <c r="L139" s="16">
        <f t="shared" si="9"/>
        <v>1.2337190327844529</v>
      </c>
    </row>
    <row r="140" spans="1:12" ht="12.75" customHeight="1">
      <c r="A140" s="1" t="s">
        <v>3802</v>
      </c>
      <c r="B140" s="7">
        <v>58.6</v>
      </c>
      <c r="C140" s="7">
        <v>60.35</v>
      </c>
      <c r="D140" s="16">
        <f t="shared" si="7"/>
        <v>2.9863481228668942E-2</v>
      </c>
      <c r="E140" s="9">
        <v>57.12</v>
      </c>
      <c r="F140" s="16">
        <f t="shared" si="8"/>
        <v>5.6547619047619117E-2</v>
      </c>
      <c r="G140" s="40"/>
      <c r="H140" s="16"/>
      <c r="I140" s="16"/>
      <c r="J140">
        <v>19.260000000000002</v>
      </c>
      <c r="K140">
        <f t="shared" si="5"/>
        <v>26.964000000000002</v>
      </c>
      <c r="L140" s="16">
        <f t="shared" si="9"/>
        <v>1.2381694110666071</v>
      </c>
    </row>
    <row r="141" spans="1:12" ht="12.75" customHeight="1">
      <c r="A141" s="1" t="s">
        <v>3803</v>
      </c>
      <c r="B141" s="7">
        <v>58.77</v>
      </c>
      <c r="C141" s="7">
        <v>60.52</v>
      </c>
      <c r="D141" s="16">
        <f t="shared" si="7"/>
        <v>2.9777097158414156E-2</v>
      </c>
      <c r="E141" s="9">
        <v>57.12</v>
      </c>
      <c r="F141" s="16">
        <f t="shared" si="8"/>
        <v>5.9523809523809625E-2</v>
      </c>
      <c r="G141" s="40"/>
      <c r="H141" s="16"/>
      <c r="I141" s="16"/>
      <c r="J141">
        <v>19.260000000000002</v>
      </c>
      <c r="K141">
        <f t="shared" si="5"/>
        <v>26.964000000000002</v>
      </c>
      <c r="L141" s="16">
        <f t="shared" si="9"/>
        <v>1.244474113632992</v>
      </c>
    </row>
    <row r="142" spans="1:12" ht="12.75" customHeight="1">
      <c r="A142" s="1" t="s">
        <v>3804</v>
      </c>
      <c r="B142" s="7"/>
      <c r="C142" s="7"/>
      <c r="D142" s="16"/>
      <c r="E142" s="9"/>
      <c r="F142" s="16"/>
      <c r="G142" s="40"/>
      <c r="H142" s="16"/>
      <c r="I142" s="16"/>
      <c r="K142">
        <f t="shared" si="5"/>
        <v>0</v>
      </c>
      <c r="L142" s="16"/>
    </row>
    <row r="143" spans="1:12" ht="12.75" customHeight="1">
      <c r="A143" s="1" t="s">
        <v>3805</v>
      </c>
      <c r="B143" s="7"/>
      <c r="C143" s="7"/>
      <c r="D143" s="16"/>
      <c r="E143" s="9"/>
      <c r="F143" s="16"/>
      <c r="G143" s="40"/>
      <c r="H143" s="16"/>
      <c r="I143" s="16"/>
      <c r="K143">
        <f t="shared" si="5"/>
        <v>0</v>
      </c>
      <c r="L143" s="16"/>
    </row>
    <row r="144" spans="1:12">
      <c r="A144" s="1"/>
      <c r="B144" s="7"/>
      <c r="C144" s="7"/>
      <c r="D144" s="16"/>
      <c r="E144" s="9"/>
      <c r="F144" s="16"/>
      <c r="G144" s="40"/>
      <c r="H144" s="16"/>
      <c r="I144" s="16"/>
      <c r="K144">
        <f t="shared" si="5"/>
        <v>0</v>
      </c>
      <c r="L144" s="16"/>
    </row>
    <row r="145" spans="1:12" ht="12.75" customHeight="1">
      <c r="A145" s="2" t="s">
        <v>3806</v>
      </c>
      <c r="B145" s="10"/>
      <c r="C145" s="10"/>
      <c r="D145" s="16"/>
      <c r="E145" s="9"/>
      <c r="F145" s="16"/>
      <c r="G145" s="40"/>
      <c r="H145" s="16"/>
      <c r="I145" s="16"/>
      <c r="K145">
        <f t="shared" si="5"/>
        <v>0</v>
      </c>
      <c r="L145" s="16"/>
    </row>
    <row r="146" spans="1:12" ht="12.75" customHeight="1">
      <c r="A146" s="2" t="s">
        <v>3807</v>
      </c>
      <c r="B146" s="10"/>
      <c r="C146" s="10"/>
      <c r="D146" s="16"/>
      <c r="E146" s="9"/>
      <c r="F146" s="16"/>
      <c r="G146" s="40"/>
      <c r="H146" s="16"/>
      <c r="I146" s="16"/>
      <c r="K146">
        <f t="shared" si="5"/>
        <v>0</v>
      </c>
      <c r="L146" s="16"/>
    </row>
    <row r="147" spans="1:12" ht="12.75" customHeight="1">
      <c r="A147" s="3" t="s">
        <v>3931</v>
      </c>
      <c r="B147" s="12" t="s">
        <v>3510</v>
      </c>
      <c r="C147" s="12" t="s">
        <v>3510</v>
      </c>
      <c r="D147" s="43"/>
      <c r="E147" s="44"/>
      <c r="F147" s="43"/>
      <c r="G147" s="23"/>
      <c r="H147" s="43"/>
      <c r="I147" s="43"/>
      <c r="J147" s="8"/>
      <c r="K147">
        <f t="shared" si="5"/>
        <v>0</v>
      </c>
      <c r="L147" s="16"/>
    </row>
    <row r="148" spans="1:12">
      <c r="A148" s="6" t="s">
        <v>3573</v>
      </c>
      <c r="B148" s="7"/>
      <c r="C148" s="7"/>
      <c r="D148" s="16"/>
      <c r="E148" s="9"/>
      <c r="F148" s="16"/>
      <c r="G148" s="40"/>
      <c r="H148" s="16"/>
      <c r="I148" s="16"/>
      <c r="K148">
        <f t="shared" si="5"/>
        <v>0</v>
      </c>
      <c r="L148" s="16"/>
    </row>
    <row r="149" spans="1:12" ht="12.75" customHeight="1">
      <c r="A149" s="1" t="s">
        <v>3808</v>
      </c>
      <c r="B149" s="7">
        <v>57.6</v>
      </c>
      <c r="C149" s="7">
        <v>59.35</v>
      </c>
      <c r="D149" s="16">
        <f>(C149-B149)/B149</f>
        <v>3.0381944444444444E-2</v>
      </c>
      <c r="E149" s="9">
        <v>57.12</v>
      </c>
      <c r="F149" s="16">
        <f t="shared" ref="F149:F212" si="10">(C149-E149)/E149</f>
        <v>3.9040616246498669E-2</v>
      </c>
      <c r="G149" s="40"/>
      <c r="H149" s="16"/>
      <c r="I149" s="16"/>
      <c r="J149">
        <v>19.260000000000002</v>
      </c>
      <c r="K149">
        <f t="shared" si="5"/>
        <v>26.964000000000002</v>
      </c>
      <c r="L149" s="16">
        <f t="shared" si="9"/>
        <v>1.2010829253819906</v>
      </c>
    </row>
    <row r="150" spans="1:12" ht="12.75" customHeight="1">
      <c r="A150" s="1" t="s">
        <v>3809</v>
      </c>
      <c r="B150" s="7">
        <v>56.51</v>
      </c>
      <c r="C150" s="7">
        <v>58.26</v>
      </c>
      <c r="D150" s="16">
        <f>(C150-B150)/B150</f>
        <v>3.0967970270748543E-2</v>
      </c>
      <c r="E150" s="9">
        <v>57.12</v>
      </c>
      <c r="F150" s="16">
        <f t="shared" si="10"/>
        <v>1.9957983193277323E-2</v>
      </c>
      <c r="G150" s="40"/>
      <c r="H150" s="16"/>
      <c r="I150" s="16"/>
      <c r="J150">
        <v>19.260000000000002</v>
      </c>
      <c r="K150">
        <f t="shared" si="5"/>
        <v>26.964000000000002</v>
      </c>
      <c r="L150" s="16">
        <f t="shared" si="9"/>
        <v>1.1606586559857586</v>
      </c>
    </row>
    <row r="151" spans="1:12">
      <c r="A151" s="6" t="s">
        <v>3575</v>
      </c>
      <c r="B151" s="7"/>
      <c r="C151" s="7"/>
      <c r="D151" s="16"/>
      <c r="E151" s="9"/>
      <c r="F151" s="16"/>
      <c r="G151" s="40"/>
      <c r="H151" s="16"/>
      <c r="I151" s="16"/>
      <c r="K151">
        <f t="shared" ref="K151:K214" si="11">J151*1.4</f>
        <v>0</v>
      </c>
      <c r="L151" s="16"/>
    </row>
    <row r="152" spans="1:12" ht="12.75" customHeight="1">
      <c r="A152" s="1" t="s">
        <v>3810</v>
      </c>
      <c r="B152" s="7">
        <v>57.6</v>
      </c>
      <c r="C152" s="7">
        <v>59.35</v>
      </c>
      <c r="D152" s="16">
        <f>(C152-B152)/B152</f>
        <v>3.0381944444444444E-2</v>
      </c>
      <c r="E152" s="9">
        <v>57.12</v>
      </c>
      <c r="F152" s="16">
        <f t="shared" si="10"/>
        <v>3.9040616246498669E-2</v>
      </c>
      <c r="G152" s="40"/>
      <c r="H152" s="16"/>
      <c r="I152" s="16"/>
      <c r="J152">
        <v>19.260000000000002</v>
      </c>
      <c r="K152">
        <f t="shared" si="11"/>
        <v>26.964000000000002</v>
      </c>
      <c r="L152" s="16">
        <f t="shared" si="9"/>
        <v>1.2010829253819906</v>
      </c>
    </row>
    <row r="153" spans="1:12">
      <c r="A153" s="6" t="s">
        <v>3576</v>
      </c>
      <c r="B153" s="7"/>
      <c r="C153" s="7"/>
      <c r="D153" s="16"/>
      <c r="E153" s="9"/>
      <c r="F153" s="16"/>
      <c r="G153" s="40"/>
      <c r="H153" s="16"/>
      <c r="I153" s="16"/>
      <c r="K153">
        <f t="shared" si="11"/>
        <v>0</v>
      </c>
      <c r="L153" s="16"/>
    </row>
    <row r="154" spans="1:12" ht="12.75" customHeight="1">
      <c r="A154" s="1" t="s">
        <v>3811</v>
      </c>
      <c r="B154" s="7">
        <v>56.51</v>
      </c>
      <c r="C154" s="7">
        <v>58.26</v>
      </c>
      <c r="D154" s="16">
        <f>(C154-B154)/B154</f>
        <v>3.0967970270748543E-2</v>
      </c>
      <c r="E154" s="9">
        <v>57.12</v>
      </c>
      <c r="F154" s="16">
        <f t="shared" si="10"/>
        <v>1.9957983193277323E-2</v>
      </c>
      <c r="G154" s="40"/>
      <c r="H154" s="16"/>
      <c r="I154" s="16"/>
      <c r="J154">
        <v>19.260000000000002</v>
      </c>
      <c r="K154">
        <f t="shared" si="11"/>
        <v>26.964000000000002</v>
      </c>
      <c r="L154" s="16">
        <f t="shared" si="9"/>
        <v>1.1606586559857586</v>
      </c>
    </row>
    <row r="155" spans="1:12" ht="12.75" customHeight="1">
      <c r="A155" s="1" t="s">
        <v>3812</v>
      </c>
      <c r="B155" s="7">
        <v>56.51</v>
      </c>
      <c r="C155" s="7">
        <v>58.26</v>
      </c>
      <c r="D155" s="16">
        <f>(C155-B155)/B155</f>
        <v>3.0967970270748543E-2</v>
      </c>
      <c r="E155" s="9">
        <v>57.12</v>
      </c>
      <c r="F155" s="16">
        <f t="shared" si="10"/>
        <v>1.9957983193277323E-2</v>
      </c>
      <c r="G155" s="40"/>
      <c r="H155" s="16"/>
      <c r="I155" s="16"/>
      <c r="J155">
        <v>19.260000000000002</v>
      </c>
      <c r="K155">
        <f t="shared" si="11"/>
        <v>26.964000000000002</v>
      </c>
      <c r="L155" s="16">
        <f t="shared" si="9"/>
        <v>1.1606586559857586</v>
      </c>
    </row>
    <row r="156" spans="1:12">
      <c r="A156" s="6" t="s">
        <v>3577</v>
      </c>
      <c r="B156" s="7"/>
      <c r="C156" s="7"/>
      <c r="D156" s="16"/>
      <c r="E156" s="9"/>
      <c r="F156" s="16"/>
      <c r="G156" s="40"/>
      <c r="H156" s="16"/>
      <c r="I156" s="16"/>
      <c r="K156">
        <f t="shared" si="11"/>
        <v>0</v>
      </c>
      <c r="L156" s="16"/>
    </row>
    <row r="157" spans="1:12" ht="12.75" customHeight="1">
      <c r="A157" s="1" t="s">
        <v>3813</v>
      </c>
      <c r="B157" s="7">
        <v>56.65</v>
      </c>
      <c r="C157" s="7">
        <v>58.4</v>
      </c>
      <c r="D157" s="16">
        <f>(C157-B157)/B157</f>
        <v>3.089143865842895E-2</v>
      </c>
      <c r="E157" s="9">
        <v>57.12</v>
      </c>
      <c r="F157" s="16">
        <f t="shared" si="10"/>
        <v>2.2408963585434195E-2</v>
      </c>
      <c r="G157" s="40"/>
      <c r="H157" s="16"/>
      <c r="I157" s="16"/>
      <c r="J157">
        <v>19.260000000000002</v>
      </c>
      <c r="K157">
        <f t="shared" si="11"/>
        <v>26.964000000000002</v>
      </c>
      <c r="L157" s="16">
        <f t="shared" si="9"/>
        <v>1.1658507639816049</v>
      </c>
    </row>
    <row r="158" spans="1:12" ht="12.75" customHeight="1">
      <c r="A158" s="1" t="s">
        <v>3814</v>
      </c>
      <c r="B158" s="7">
        <v>56.65</v>
      </c>
      <c r="C158" s="7">
        <v>58.4</v>
      </c>
      <c r="D158" s="16">
        <f>(C158-B158)/B158</f>
        <v>3.089143865842895E-2</v>
      </c>
      <c r="E158" s="9">
        <v>57.12</v>
      </c>
      <c r="F158" s="16">
        <f t="shared" si="10"/>
        <v>2.2408963585434195E-2</v>
      </c>
      <c r="G158" s="40"/>
      <c r="H158" s="16"/>
      <c r="I158" s="16"/>
      <c r="J158">
        <v>19.260000000000002</v>
      </c>
      <c r="K158">
        <f t="shared" si="11"/>
        <v>26.964000000000002</v>
      </c>
      <c r="L158" s="16">
        <f t="shared" si="9"/>
        <v>1.1658507639816049</v>
      </c>
    </row>
    <row r="159" spans="1:12">
      <c r="A159" s="6" t="s">
        <v>3579</v>
      </c>
      <c r="B159" s="7"/>
      <c r="C159" s="7"/>
      <c r="D159" s="16"/>
      <c r="E159" s="9"/>
      <c r="F159" s="16"/>
      <c r="G159" s="40"/>
      <c r="H159" s="16"/>
      <c r="I159" s="16"/>
      <c r="K159">
        <f t="shared" si="11"/>
        <v>0</v>
      </c>
      <c r="L159" s="16"/>
    </row>
    <row r="160" spans="1:12" ht="12.75" customHeight="1">
      <c r="A160" s="1" t="s">
        <v>3815</v>
      </c>
      <c r="B160" s="7">
        <v>56.87</v>
      </c>
      <c r="C160" s="7">
        <v>58.62</v>
      </c>
      <c r="D160" s="16">
        <f>(C160-B160)/B160</f>
        <v>3.0771935994373133E-2</v>
      </c>
      <c r="E160" s="9">
        <v>57.12</v>
      </c>
      <c r="F160" s="16">
        <f t="shared" si="10"/>
        <v>2.6260504201680673E-2</v>
      </c>
      <c r="G160" s="40"/>
      <c r="H160" s="16"/>
      <c r="I160" s="16"/>
      <c r="J160">
        <v>19.260000000000002</v>
      </c>
      <c r="K160">
        <f t="shared" si="11"/>
        <v>26.964000000000002</v>
      </c>
      <c r="L160" s="16">
        <f t="shared" si="9"/>
        <v>1.1740097908322205</v>
      </c>
    </row>
    <row r="161" spans="1:12" ht="12.75" customHeight="1">
      <c r="A161" s="1" t="s">
        <v>3816</v>
      </c>
      <c r="B161" s="7">
        <v>56.87</v>
      </c>
      <c r="C161" s="7">
        <v>58.62</v>
      </c>
      <c r="D161" s="16">
        <f>(C161-B161)/B161</f>
        <v>3.0771935994373133E-2</v>
      </c>
      <c r="E161" s="9">
        <v>57.12</v>
      </c>
      <c r="F161" s="16">
        <f t="shared" si="10"/>
        <v>2.6260504201680673E-2</v>
      </c>
      <c r="G161" s="40"/>
      <c r="H161" s="16"/>
      <c r="I161" s="16"/>
      <c r="J161">
        <v>19.260000000000002</v>
      </c>
      <c r="K161">
        <f t="shared" si="11"/>
        <v>26.964000000000002</v>
      </c>
      <c r="L161" s="16">
        <f t="shared" si="9"/>
        <v>1.1740097908322205</v>
      </c>
    </row>
    <row r="162" spans="1:12" ht="12.75" customHeight="1">
      <c r="A162" s="1" t="s">
        <v>3817</v>
      </c>
      <c r="B162" s="7">
        <v>56.87</v>
      </c>
      <c r="C162" s="7">
        <v>58.62</v>
      </c>
      <c r="D162" s="16">
        <f>(C162-B162)/B162</f>
        <v>3.0771935994373133E-2</v>
      </c>
      <c r="E162" s="9">
        <v>57.12</v>
      </c>
      <c r="F162" s="16">
        <f t="shared" si="10"/>
        <v>2.6260504201680673E-2</v>
      </c>
      <c r="G162" s="40"/>
      <c r="H162" s="16"/>
      <c r="I162" s="16"/>
      <c r="J162">
        <v>19.260000000000002</v>
      </c>
      <c r="K162">
        <f t="shared" si="11"/>
        <v>26.964000000000002</v>
      </c>
      <c r="L162" s="16">
        <f t="shared" si="9"/>
        <v>1.1740097908322205</v>
      </c>
    </row>
    <row r="163" spans="1:12">
      <c r="A163" s="6" t="s">
        <v>3580</v>
      </c>
      <c r="B163" s="7"/>
      <c r="C163" s="7"/>
      <c r="D163" s="16"/>
      <c r="E163" s="9"/>
      <c r="F163" s="16"/>
      <c r="G163" s="40"/>
      <c r="H163" s="16"/>
      <c r="I163" s="16"/>
      <c r="K163">
        <f t="shared" si="11"/>
        <v>0</v>
      </c>
      <c r="L163" s="16"/>
    </row>
    <row r="164" spans="1:12" ht="12.75" customHeight="1">
      <c r="A164" s="1" t="s">
        <v>3818</v>
      </c>
      <c r="B164" s="7">
        <v>56.98</v>
      </c>
      <c r="C164" s="7">
        <v>58.73</v>
      </c>
      <c r="D164" s="16">
        <f t="shared" ref="D164:D174" si="12">(C164-B164)/B164</f>
        <v>3.0712530712530713E-2</v>
      </c>
      <c r="E164" s="9">
        <v>57.12</v>
      </c>
      <c r="F164" s="16">
        <f t="shared" si="10"/>
        <v>2.8186274509803912E-2</v>
      </c>
      <c r="G164" s="40"/>
      <c r="H164" s="16"/>
      <c r="I164" s="16"/>
      <c r="J164">
        <v>19.260000000000002</v>
      </c>
      <c r="K164">
        <f t="shared" si="11"/>
        <v>26.964000000000002</v>
      </c>
      <c r="L164" s="16">
        <f t="shared" si="9"/>
        <v>1.1780893042575282</v>
      </c>
    </row>
    <row r="165" spans="1:12" ht="12.75" customHeight="1">
      <c r="A165" s="1" t="s">
        <v>3819</v>
      </c>
      <c r="B165" s="7">
        <v>56.98</v>
      </c>
      <c r="C165" s="7">
        <v>58.73</v>
      </c>
      <c r="D165" s="16">
        <f t="shared" si="12"/>
        <v>3.0712530712530713E-2</v>
      </c>
      <c r="E165" s="9">
        <v>57.12</v>
      </c>
      <c r="F165" s="16">
        <f t="shared" si="10"/>
        <v>2.8186274509803912E-2</v>
      </c>
      <c r="G165" s="40"/>
      <c r="H165" s="16"/>
      <c r="I165" s="16"/>
      <c r="J165">
        <v>19.260000000000002</v>
      </c>
      <c r="K165">
        <f t="shared" si="11"/>
        <v>26.964000000000002</v>
      </c>
      <c r="L165" s="16">
        <f t="shared" si="9"/>
        <v>1.1780893042575282</v>
      </c>
    </row>
    <row r="166" spans="1:12" ht="12.75" customHeight="1">
      <c r="A166" s="1" t="s">
        <v>3820</v>
      </c>
      <c r="B166" s="7">
        <v>56.98</v>
      </c>
      <c r="C166" s="7">
        <v>58.73</v>
      </c>
      <c r="D166" s="16">
        <f t="shared" si="12"/>
        <v>3.0712530712530713E-2</v>
      </c>
      <c r="E166" s="9">
        <v>57.12</v>
      </c>
      <c r="F166" s="16">
        <f t="shared" si="10"/>
        <v>2.8186274509803912E-2</v>
      </c>
      <c r="G166" s="40"/>
      <c r="H166" s="16"/>
      <c r="I166" s="16"/>
      <c r="J166">
        <v>19.260000000000002</v>
      </c>
      <c r="K166">
        <f t="shared" si="11"/>
        <v>26.964000000000002</v>
      </c>
      <c r="L166" s="16">
        <f t="shared" si="9"/>
        <v>1.1780893042575282</v>
      </c>
    </row>
    <row r="167" spans="1:12" ht="12.75" customHeight="1">
      <c r="A167" s="1" t="s">
        <v>3821</v>
      </c>
      <c r="B167" s="7">
        <v>56.98</v>
      </c>
      <c r="C167" s="7">
        <v>58.73</v>
      </c>
      <c r="D167" s="16">
        <f t="shared" si="12"/>
        <v>3.0712530712530713E-2</v>
      </c>
      <c r="E167" s="9">
        <v>57.12</v>
      </c>
      <c r="F167" s="16">
        <f t="shared" si="10"/>
        <v>2.8186274509803912E-2</v>
      </c>
      <c r="G167" s="40"/>
      <c r="H167" s="16"/>
      <c r="I167" s="16"/>
      <c r="J167">
        <v>19.260000000000002</v>
      </c>
      <c r="K167">
        <f t="shared" si="11"/>
        <v>26.964000000000002</v>
      </c>
      <c r="L167" s="16">
        <f t="shared" si="9"/>
        <v>1.1780893042575282</v>
      </c>
    </row>
    <row r="168" spans="1:12" ht="12.75" customHeight="1">
      <c r="A168" s="1" t="s">
        <v>3822</v>
      </c>
      <c r="B168" s="7">
        <v>56.98</v>
      </c>
      <c r="C168" s="7">
        <v>58.73</v>
      </c>
      <c r="D168" s="16">
        <f t="shared" si="12"/>
        <v>3.0712530712530713E-2</v>
      </c>
      <c r="E168" s="9">
        <v>57.12</v>
      </c>
      <c r="F168" s="16">
        <f t="shared" si="10"/>
        <v>2.8186274509803912E-2</v>
      </c>
      <c r="G168" s="40"/>
      <c r="H168" s="16"/>
      <c r="I168" s="16"/>
      <c r="J168">
        <v>19.260000000000002</v>
      </c>
      <c r="K168">
        <f t="shared" si="11"/>
        <v>26.964000000000002</v>
      </c>
      <c r="L168" s="16">
        <f t="shared" si="9"/>
        <v>1.1780893042575282</v>
      </c>
    </row>
    <row r="169" spans="1:12" ht="12.75" customHeight="1">
      <c r="A169" s="1" t="s">
        <v>3823</v>
      </c>
      <c r="B169" s="7">
        <v>56.98</v>
      </c>
      <c r="C169" s="7">
        <v>58.73</v>
      </c>
      <c r="D169" s="16">
        <f t="shared" si="12"/>
        <v>3.0712530712530713E-2</v>
      </c>
      <c r="E169" s="9">
        <v>57.12</v>
      </c>
      <c r="F169" s="16">
        <f t="shared" si="10"/>
        <v>2.8186274509803912E-2</v>
      </c>
      <c r="G169" s="40"/>
      <c r="H169" s="16"/>
      <c r="I169" s="16"/>
      <c r="J169">
        <v>19.260000000000002</v>
      </c>
      <c r="K169">
        <f t="shared" si="11"/>
        <v>26.964000000000002</v>
      </c>
      <c r="L169" s="16">
        <f t="shared" si="9"/>
        <v>1.1780893042575282</v>
      </c>
    </row>
    <row r="170" spans="1:12" ht="12.75" customHeight="1">
      <c r="A170" s="1" t="s">
        <v>3824</v>
      </c>
      <c r="B170" s="7">
        <v>56.98</v>
      </c>
      <c r="C170" s="7">
        <v>58.73</v>
      </c>
      <c r="D170" s="16">
        <f t="shared" si="12"/>
        <v>3.0712530712530713E-2</v>
      </c>
      <c r="E170" s="9">
        <v>57.12</v>
      </c>
      <c r="F170" s="16">
        <f t="shared" si="10"/>
        <v>2.8186274509803912E-2</v>
      </c>
      <c r="G170" s="40"/>
      <c r="H170" s="16"/>
      <c r="I170" s="16"/>
      <c r="J170">
        <v>19.260000000000002</v>
      </c>
      <c r="K170">
        <f t="shared" si="11"/>
        <v>26.964000000000002</v>
      </c>
      <c r="L170" s="16">
        <f t="shared" si="9"/>
        <v>1.1780893042575282</v>
      </c>
    </row>
    <row r="171" spans="1:12" ht="12.75" customHeight="1">
      <c r="A171" s="1" t="s">
        <v>3825</v>
      </c>
      <c r="B171" s="7">
        <v>56.98</v>
      </c>
      <c r="C171" s="7">
        <v>58.73</v>
      </c>
      <c r="D171" s="16">
        <f t="shared" si="12"/>
        <v>3.0712530712530713E-2</v>
      </c>
      <c r="E171" s="9">
        <v>57.12</v>
      </c>
      <c r="F171" s="16">
        <f t="shared" si="10"/>
        <v>2.8186274509803912E-2</v>
      </c>
      <c r="G171" s="40"/>
      <c r="H171" s="16"/>
      <c r="I171" s="16"/>
      <c r="J171">
        <v>19.260000000000002</v>
      </c>
      <c r="K171">
        <f t="shared" si="11"/>
        <v>26.964000000000002</v>
      </c>
      <c r="L171" s="16">
        <f t="shared" si="9"/>
        <v>1.1780893042575282</v>
      </c>
    </row>
    <row r="172" spans="1:12" ht="38.25">
      <c r="A172" s="1" t="s">
        <v>3826</v>
      </c>
      <c r="B172" s="7">
        <v>56.98</v>
      </c>
      <c r="C172" s="7">
        <v>58.73</v>
      </c>
      <c r="D172" s="16">
        <f t="shared" si="12"/>
        <v>3.0712530712530713E-2</v>
      </c>
      <c r="E172" s="9">
        <v>57.12</v>
      </c>
      <c r="F172" s="16">
        <f t="shared" si="10"/>
        <v>2.8186274509803912E-2</v>
      </c>
      <c r="G172" s="40"/>
      <c r="H172" s="16"/>
      <c r="I172" s="16"/>
      <c r="J172">
        <v>19.260000000000002</v>
      </c>
      <c r="K172">
        <f t="shared" si="11"/>
        <v>26.964000000000002</v>
      </c>
      <c r="L172" s="16">
        <f t="shared" si="9"/>
        <v>1.1780893042575282</v>
      </c>
    </row>
    <row r="173" spans="1:12" ht="12.75" customHeight="1">
      <c r="A173" s="1" t="s">
        <v>3827</v>
      </c>
      <c r="B173" s="7">
        <v>56.98</v>
      </c>
      <c r="C173" s="7">
        <v>58.73</v>
      </c>
      <c r="D173" s="16">
        <f t="shared" si="12"/>
        <v>3.0712530712530713E-2</v>
      </c>
      <c r="E173" s="9">
        <v>57.12</v>
      </c>
      <c r="F173" s="16">
        <f t="shared" si="10"/>
        <v>2.8186274509803912E-2</v>
      </c>
      <c r="G173" s="40"/>
      <c r="H173" s="16"/>
      <c r="I173" s="16"/>
      <c r="J173">
        <v>19.260000000000002</v>
      </c>
      <c r="K173">
        <f t="shared" si="11"/>
        <v>26.964000000000002</v>
      </c>
      <c r="L173" s="16">
        <f t="shared" si="9"/>
        <v>1.1780893042575282</v>
      </c>
    </row>
    <row r="174" spans="1:12" ht="12.75" customHeight="1">
      <c r="A174" s="1" t="s">
        <v>3828</v>
      </c>
      <c r="B174" s="7">
        <v>56.98</v>
      </c>
      <c r="C174" s="7">
        <v>58.73</v>
      </c>
      <c r="D174" s="16">
        <f t="shared" si="12"/>
        <v>3.0712530712530713E-2</v>
      </c>
      <c r="E174" s="9">
        <v>57.12</v>
      </c>
      <c r="F174" s="16">
        <f t="shared" si="10"/>
        <v>2.8186274509803912E-2</v>
      </c>
      <c r="G174" s="40"/>
      <c r="H174" s="16"/>
      <c r="I174" s="16"/>
      <c r="J174">
        <v>19.260000000000002</v>
      </c>
      <c r="K174">
        <f t="shared" si="11"/>
        <v>26.964000000000002</v>
      </c>
      <c r="L174" s="16">
        <f t="shared" si="9"/>
        <v>1.1780893042575282</v>
      </c>
    </row>
    <row r="175" spans="1:12">
      <c r="A175" s="6" t="s">
        <v>3593</v>
      </c>
      <c r="B175" s="7"/>
      <c r="C175" s="7"/>
      <c r="D175" s="16"/>
      <c r="E175" s="9"/>
      <c r="F175" s="16"/>
      <c r="G175" s="40"/>
      <c r="H175" s="16"/>
      <c r="I175" s="16"/>
      <c r="K175">
        <f t="shared" si="11"/>
        <v>0</v>
      </c>
      <c r="L175" s="16"/>
    </row>
    <row r="176" spans="1:12" ht="12.75" customHeight="1">
      <c r="A176" s="1" t="s">
        <v>3829</v>
      </c>
      <c r="B176" s="7">
        <v>57.1</v>
      </c>
      <c r="C176" s="7">
        <v>58.85</v>
      </c>
      <c r="D176" s="16">
        <f>(C176-B176)/B176</f>
        <v>3.0647985989492119E-2</v>
      </c>
      <c r="E176" s="9">
        <v>57.12</v>
      </c>
      <c r="F176" s="16">
        <f t="shared" si="10"/>
        <v>3.0287114845938445E-2</v>
      </c>
      <c r="G176" s="40"/>
      <c r="H176" s="16"/>
      <c r="I176" s="16"/>
      <c r="J176">
        <v>19.260000000000002</v>
      </c>
      <c r="K176">
        <f t="shared" si="11"/>
        <v>26.964000000000002</v>
      </c>
      <c r="L176" s="16">
        <f t="shared" si="9"/>
        <v>1.1825396825396823</v>
      </c>
    </row>
    <row r="177" spans="1:12" ht="25.5">
      <c r="A177" s="1" t="s">
        <v>3830</v>
      </c>
      <c r="B177" s="7">
        <v>57.1</v>
      </c>
      <c r="C177" s="7">
        <v>58.85</v>
      </c>
      <c r="D177" s="16">
        <f>(C177-B177)/B177</f>
        <v>3.0647985989492119E-2</v>
      </c>
      <c r="E177" s="9">
        <v>57.12</v>
      </c>
      <c r="F177" s="16">
        <f t="shared" si="10"/>
        <v>3.0287114845938445E-2</v>
      </c>
      <c r="G177" s="40"/>
      <c r="H177" s="16"/>
      <c r="I177" s="16"/>
      <c r="J177">
        <v>19.260000000000002</v>
      </c>
      <c r="K177">
        <f t="shared" si="11"/>
        <v>26.964000000000002</v>
      </c>
      <c r="L177" s="16">
        <f t="shared" si="9"/>
        <v>1.1825396825396823</v>
      </c>
    </row>
    <row r="178" spans="1:12" ht="12.75" customHeight="1">
      <c r="A178" s="1" t="s">
        <v>3831</v>
      </c>
      <c r="B178" s="7">
        <v>57.1</v>
      </c>
      <c r="C178" s="7">
        <v>58.85</v>
      </c>
      <c r="D178" s="16">
        <f>(C178-B178)/B178</f>
        <v>3.0647985989492119E-2</v>
      </c>
      <c r="E178" s="9">
        <v>57.12</v>
      </c>
      <c r="F178" s="16">
        <f t="shared" si="10"/>
        <v>3.0287114845938445E-2</v>
      </c>
      <c r="G178" s="40"/>
      <c r="H178" s="16"/>
      <c r="I178" s="16"/>
      <c r="J178">
        <v>19.260000000000002</v>
      </c>
      <c r="K178">
        <f t="shared" si="11"/>
        <v>26.964000000000002</v>
      </c>
      <c r="L178" s="16">
        <f t="shared" si="9"/>
        <v>1.1825396825396823</v>
      </c>
    </row>
    <row r="179" spans="1:12" ht="12.75" customHeight="1">
      <c r="A179" s="1" t="s">
        <v>3832</v>
      </c>
      <c r="B179" s="7">
        <v>57.1</v>
      </c>
      <c r="C179" s="7">
        <v>58.85</v>
      </c>
      <c r="D179" s="16">
        <f>(C179-B179)/B179</f>
        <v>3.0647985989492119E-2</v>
      </c>
      <c r="E179" s="9">
        <v>57.12</v>
      </c>
      <c r="F179" s="16">
        <f t="shared" si="10"/>
        <v>3.0287114845938445E-2</v>
      </c>
      <c r="G179" s="40"/>
      <c r="H179" s="16"/>
      <c r="I179" s="16"/>
      <c r="J179">
        <v>19.260000000000002</v>
      </c>
      <c r="K179">
        <f t="shared" si="11"/>
        <v>26.964000000000002</v>
      </c>
      <c r="L179" s="16">
        <f t="shared" si="9"/>
        <v>1.1825396825396823</v>
      </c>
    </row>
    <row r="180" spans="1:12">
      <c r="A180" s="6" t="s">
        <v>3594</v>
      </c>
      <c r="B180" s="7"/>
      <c r="C180" s="7"/>
      <c r="D180" s="16"/>
      <c r="E180" s="9"/>
      <c r="F180" s="16"/>
      <c r="G180" s="40"/>
      <c r="H180" s="16"/>
      <c r="I180" s="16"/>
      <c r="K180">
        <f t="shared" si="11"/>
        <v>0</v>
      </c>
      <c r="L180" s="16"/>
    </row>
    <row r="181" spans="1:12" ht="12.75" customHeight="1">
      <c r="A181" s="1" t="s">
        <v>3833</v>
      </c>
      <c r="B181" s="7">
        <v>59.07</v>
      </c>
      <c r="C181" s="7">
        <v>60.82</v>
      </c>
      <c r="D181" s="16">
        <f>(C181-B181)/B181</f>
        <v>2.9625867614694431E-2</v>
      </c>
      <c r="E181" s="9">
        <v>57.12</v>
      </c>
      <c r="F181" s="16">
        <f t="shared" si="10"/>
        <v>6.4775910364145706E-2</v>
      </c>
      <c r="G181" s="40"/>
      <c r="H181" s="16"/>
      <c r="I181" s="16"/>
      <c r="J181">
        <v>19.260000000000002</v>
      </c>
      <c r="K181">
        <f t="shared" si="11"/>
        <v>26.964000000000002</v>
      </c>
      <c r="L181" s="16">
        <f t="shared" si="9"/>
        <v>1.2556000593383767</v>
      </c>
    </row>
    <row r="182" spans="1:12" ht="12.75" customHeight="1">
      <c r="A182" s="1" t="s">
        <v>3834</v>
      </c>
      <c r="B182" s="7">
        <v>57.27</v>
      </c>
      <c r="C182" s="7">
        <v>59.02</v>
      </c>
      <c r="D182" s="16">
        <f>(C182-B182)/B182</f>
        <v>3.0557010651300853E-2</v>
      </c>
      <c r="E182" s="9">
        <v>57.12</v>
      </c>
      <c r="F182" s="16">
        <f t="shared" si="10"/>
        <v>3.3263305322128955E-2</v>
      </c>
      <c r="G182" s="40"/>
      <c r="H182" s="16"/>
      <c r="I182" s="16"/>
      <c r="J182">
        <v>19.260000000000002</v>
      </c>
      <c r="K182">
        <f t="shared" si="11"/>
        <v>26.964000000000002</v>
      </c>
      <c r="L182" s="16">
        <f t="shared" ref="L182:L230" si="13">(C182-K182)/K182</f>
        <v>1.188844385106067</v>
      </c>
    </row>
    <row r="183" spans="1:12" ht="12.75" customHeight="1">
      <c r="A183" s="1" t="s">
        <v>3835</v>
      </c>
      <c r="B183" s="7">
        <v>57.27</v>
      </c>
      <c r="C183" s="7">
        <v>59.02</v>
      </c>
      <c r="D183" s="16">
        <f>(C183-B183)/B183</f>
        <v>3.0557010651300853E-2</v>
      </c>
      <c r="E183" s="9">
        <v>57.12</v>
      </c>
      <c r="F183" s="16">
        <f t="shared" si="10"/>
        <v>3.3263305322128955E-2</v>
      </c>
      <c r="G183" s="40"/>
      <c r="H183" s="16"/>
      <c r="I183" s="16"/>
      <c r="J183">
        <v>19.260000000000002</v>
      </c>
      <c r="K183">
        <f t="shared" si="11"/>
        <v>26.964000000000002</v>
      </c>
      <c r="L183" s="16">
        <f t="shared" si="13"/>
        <v>1.188844385106067</v>
      </c>
    </row>
    <row r="184" spans="1:12" ht="38.25">
      <c r="A184" s="1" t="s">
        <v>3836</v>
      </c>
      <c r="B184" s="7">
        <v>57.27</v>
      </c>
      <c r="C184" s="7">
        <v>59.02</v>
      </c>
      <c r="D184" s="16">
        <f>(C184-B184)/B184</f>
        <v>3.0557010651300853E-2</v>
      </c>
      <c r="E184" s="9">
        <v>57.12</v>
      </c>
      <c r="F184" s="16">
        <f t="shared" si="10"/>
        <v>3.3263305322128955E-2</v>
      </c>
      <c r="G184" s="40"/>
      <c r="H184" s="16"/>
      <c r="I184" s="16"/>
      <c r="J184">
        <v>19.260000000000002</v>
      </c>
      <c r="K184">
        <f t="shared" si="11"/>
        <v>26.964000000000002</v>
      </c>
      <c r="L184" s="16">
        <f t="shared" si="13"/>
        <v>1.188844385106067</v>
      </c>
    </row>
    <row r="185" spans="1:12" ht="25.5">
      <c r="A185" s="1" t="s">
        <v>3837</v>
      </c>
      <c r="B185" s="7">
        <v>57.27</v>
      </c>
      <c r="C185" s="7">
        <v>59.02</v>
      </c>
      <c r="D185" s="16">
        <f>(C185-B185)/B185</f>
        <v>3.0557010651300853E-2</v>
      </c>
      <c r="E185" s="9">
        <v>57.12</v>
      </c>
      <c r="F185" s="16">
        <f t="shared" si="10"/>
        <v>3.3263305322128955E-2</v>
      </c>
      <c r="G185" s="40"/>
      <c r="H185" s="16"/>
      <c r="I185" s="16"/>
      <c r="J185">
        <v>19.260000000000002</v>
      </c>
      <c r="K185">
        <f t="shared" si="11"/>
        <v>26.964000000000002</v>
      </c>
      <c r="L185" s="16">
        <f t="shared" si="13"/>
        <v>1.188844385106067</v>
      </c>
    </row>
    <row r="186" spans="1:12">
      <c r="A186" s="6" t="s">
        <v>3595</v>
      </c>
      <c r="B186" s="7"/>
      <c r="C186" s="7"/>
      <c r="D186" s="16"/>
      <c r="E186" s="9"/>
      <c r="F186" s="16"/>
      <c r="G186" s="40"/>
      <c r="H186" s="16"/>
      <c r="I186" s="16"/>
      <c r="K186">
        <f t="shared" si="11"/>
        <v>0</v>
      </c>
      <c r="L186" s="16"/>
    </row>
    <row r="187" spans="1:12" ht="25.5">
      <c r="A187" s="1" t="s">
        <v>3838</v>
      </c>
      <c r="B187" s="7">
        <v>59.07</v>
      </c>
      <c r="C187" s="7">
        <v>60.82</v>
      </c>
      <c r="D187" s="16">
        <f t="shared" ref="D187:D193" si="14">(C187-B187)/B187</f>
        <v>2.9625867614694431E-2</v>
      </c>
      <c r="E187" s="9">
        <v>57.12</v>
      </c>
      <c r="F187" s="16">
        <f t="shared" si="10"/>
        <v>6.4775910364145706E-2</v>
      </c>
      <c r="G187" s="40"/>
      <c r="H187" s="16"/>
      <c r="I187" s="16"/>
      <c r="J187">
        <v>19.260000000000002</v>
      </c>
      <c r="K187">
        <f t="shared" si="11"/>
        <v>26.964000000000002</v>
      </c>
      <c r="L187" s="16">
        <f t="shared" si="13"/>
        <v>1.2556000593383767</v>
      </c>
    </row>
    <row r="188" spans="1:12" ht="25.5">
      <c r="A188" s="1" t="s">
        <v>3839</v>
      </c>
      <c r="B188" s="7">
        <v>57.44</v>
      </c>
      <c r="C188" s="7">
        <v>59.19</v>
      </c>
      <c r="D188" s="16">
        <f t="shared" si="14"/>
        <v>3.046657381615599E-2</v>
      </c>
      <c r="E188" s="9">
        <v>57.12</v>
      </c>
      <c r="F188" s="16">
        <f t="shared" si="10"/>
        <v>3.6239495798319338E-2</v>
      </c>
      <c r="G188" s="40"/>
      <c r="H188" s="16"/>
      <c r="I188" s="16"/>
      <c r="J188">
        <v>19.260000000000002</v>
      </c>
      <c r="K188">
        <f t="shared" si="11"/>
        <v>26.964000000000002</v>
      </c>
      <c r="L188" s="16">
        <f t="shared" si="13"/>
        <v>1.195149087672452</v>
      </c>
    </row>
    <row r="189" spans="1:12" ht="12.75" customHeight="1">
      <c r="A189" s="1" t="s">
        <v>3840</v>
      </c>
      <c r="B189" s="7">
        <v>57.44</v>
      </c>
      <c r="C189" s="7">
        <v>59.19</v>
      </c>
      <c r="D189" s="16">
        <f t="shared" si="14"/>
        <v>3.046657381615599E-2</v>
      </c>
      <c r="E189" s="9">
        <v>57.12</v>
      </c>
      <c r="F189" s="16">
        <f t="shared" si="10"/>
        <v>3.6239495798319338E-2</v>
      </c>
      <c r="G189" s="40"/>
      <c r="H189" s="16"/>
      <c r="I189" s="16"/>
      <c r="J189">
        <v>19.260000000000002</v>
      </c>
      <c r="K189">
        <f t="shared" si="11"/>
        <v>26.964000000000002</v>
      </c>
      <c r="L189" s="16">
        <f t="shared" si="13"/>
        <v>1.195149087672452</v>
      </c>
    </row>
    <row r="190" spans="1:12" ht="38.25">
      <c r="A190" s="1" t="s">
        <v>3841</v>
      </c>
      <c r="B190" s="7">
        <v>57.44</v>
      </c>
      <c r="C190" s="7">
        <v>59.19</v>
      </c>
      <c r="D190" s="16">
        <f t="shared" si="14"/>
        <v>3.046657381615599E-2</v>
      </c>
      <c r="E190" s="9">
        <v>57.12</v>
      </c>
      <c r="F190" s="16">
        <f t="shared" si="10"/>
        <v>3.6239495798319338E-2</v>
      </c>
      <c r="G190" s="40"/>
      <c r="H190" s="16"/>
      <c r="I190" s="16"/>
      <c r="J190">
        <v>19.260000000000002</v>
      </c>
      <c r="K190">
        <f t="shared" si="11"/>
        <v>26.964000000000002</v>
      </c>
      <c r="L190" s="16">
        <f t="shared" si="13"/>
        <v>1.195149087672452</v>
      </c>
    </row>
    <row r="191" spans="1:12" ht="12.75" customHeight="1">
      <c r="A191" s="1" t="s">
        <v>3842</v>
      </c>
      <c r="B191" s="7">
        <v>57.44</v>
      </c>
      <c r="C191" s="7">
        <v>59.19</v>
      </c>
      <c r="D191" s="16">
        <f t="shared" si="14"/>
        <v>3.046657381615599E-2</v>
      </c>
      <c r="E191" s="9">
        <v>57.12</v>
      </c>
      <c r="F191" s="16">
        <f t="shared" si="10"/>
        <v>3.6239495798319338E-2</v>
      </c>
      <c r="G191" s="40"/>
      <c r="H191" s="16"/>
      <c r="I191" s="16"/>
      <c r="J191">
        <v>19.260000000000002</v>
      </c>
      <c r="K191">
        <f t="shared" si="11"/>
        <v>26.964000000000002</v>
      </c>
      <c r="L191" s="16">
        <f t="shared" si="13"/>
        <v>1.195149087672452</v>
      </c>
    </row>
    <row r="192" spans="1:12" ht="12.75" customHeight="1">
      <c r="A192" s="1" t="s">
        <v>3843</v>
      </c>
      <c r="B192" s="7">
        <v>57.44</v>
      </c>
      <c r="C192" s="7">
        <v>59.19</v>
      </c>
      <c r="D192" s="16">
        <f t="shared" si="14"/>
        <v>3.046657381615599E-2</v>
      </c>
      <c r="E192" s="9">
        <v>57.12</v>
      </c>
      <c r="F192" s="16">
        <f t="shared" si="10"/>
        <v>3.6239495798319338E-2</v>
      </c>
      <c r="G192" s="40"/>
      <c r="H192" s="16"/>
      <c r="I192" s="16"/>
      <c r="J192">
        <v>19.260000000000002</v>
      </c>
      <c r="K192">
        <f t="shared" si="11"/>
        <v>26.964000000000002</v>
      </c>
      <c r="L192" s="16">
        <f t="shared" si="13"/>
        <v>1.195149087672452</v>
      </c>
    </row>
    <row r="193" spans="1:12" ht="38.25">
      <c r="A193" s="1" t="s">
        <v>3844</v>
      </c>
      <c r="B193" s="7">
        <v>57.44</v>
      </c>
      <c r="C193" s="7">
        <v>59.19</v>
      </c>
      <c r="D193" s="16">
        <f t="shared" si="14"/>
        <v>3.046657381615599E-2</v>
      </c>
      <c r="E193" s="9">
        <v>57.12</v>
      </c>
      <c r="F193" s="16">
        <f t="shared" si="10"/>
        <v>3.6239495798319338E-2</v>
      </c>
      <c r="G193" s="40"/>
      <c r="H193" s="16"/>
      <c r="I193" s="16"/>
      <c r="J193">
        <v>19.260000000000002</v>
      </c>
      <c r="K193">
        <f t="shared" si="11"/>
        <v>26.964000000000002</v>
      </c>
      <c r="L193" s="16">
        <f t="shared" si="13"/>
        <v>1.195149087672452</v>
      </c>
    </row>
    <row r="194" spans="1:12">
      <c r="A194" s="6" t="s">
        <v>3596</v>
      </c>
      <c r="B194" s="7"/>
      <c r="C194" s="7"/>
      <c r="D194" s="16"/>
      <c r="E194" s="9"/>
      <c r="F194" s="16"/>
      <c r="G194" s="40"/>
      <c r="H194" s="16"/>
      <c r="I194" s="16"/>
      <c r="K194">
        <f t="shared" si="11"/>
        <v>0</v>
      </c>
      <c r="L194" s="16"/>
    </row>
    <row r="195" spans="1:12" ht="25.5">
      <c r="A195" s="1" t="s">
        <v>3845</v>
      </c>
      <c r="B195" s="7">
        <v>60.49</v>
      </c>
      <c r="C195" s="7">
        <v>62.24</v>
      </c>
      <c r="D195" s="16">
        <f t="shared" ref="D195:D204" si="15">(C195-B195)/B195</f>
        <v>2.8930401719292443E-2</v>
      </c>
      <c r="E195" s="9">
        <v>57.12</v>
      </c>
      <c r="F195" s="16">
        <f t="shared" si="10"/>
        <v>8.9635854341736779E-2</v>
      </c>
      <c r="G195" s="40"/>
      <c r="H195" s="16"/>
      <c r="I195" s="16"/>
      <c r="J195">
        <v>19.260000000000002</v>
      </c>
      <c r="K195">
        <f t="shared" si="11"/>
        <v>26.964000000000002</v>
      </c>
      <c r="L195" s="16">
        <f t="shared" si="13"/>
        <v>1.3082628690105322</v>
      </c>
    </row>
    <row r="196" spans="1:12" ht="25.5">
      <c r="A196" s="1" t="s">
        <v>3846</v>
      </c>
      <c r="B196" s="7">
        <v>58.44</v>
      </c>
      <c r="C196" s="7">
        <v>60.19</v>
      </c>
      <c r="D196" s="16">
        <f t="shared" si="15"/>
        <v>2.994524298425736E-2</v>
      </c>
      <c r="E196" s="9">
        <v>57.12</v>
      </c>
      <c r="F196" s="16">
        <f t="shared" si="10"/>
        <v>5.3746498599439786E-2</v>
      </c>
      <c r="G196" s="40"/>
      <c r="H196" s="16"/>
      <c r="I196" s="16"/>
      <c r="J196">
        <v>19.260000000000002</v>
      </c>
      <c r="K196">
        <f t="shared" si="11"/>
        <v>26.964000000000002</v>
      </c>
      <c r="L196" s="16">
        <f t="shared" si="13"/>
        <v>1.2322355733570685</v>
      </c>
    </row>
    <row r="197" spans="1:12" ht="38.25">
      <c r="A197" s="1" t="s">
        <v>3847</v>
      </c>
      <c r="B197" s="7">
        <v>58.44</v>
      </c>
      <c r="C197" s="7">
        <v>60.19</v>
      </c>
      <c r="D197" s="16">
        <f t="shared" si="15"/>
        <v>2.994524298425736E-2</v>
      </c>
      <c r="E197" s="9">
        <v>57.12</v>
      </c>
      <c r="F197" s="16">
        <f t="shared" si="10"/>
        <v>5.3746498599439786E-2</v>
      </c>
      <c r="G197" s="40"/>
      <c r="H197" s="16"/>
      <c r="I197" s="16"/>
      <c r="J197">
        <v>19.260000000000002</v>
      </c>
      <c r="K197">
        <f t="shared" si="11"/>
        <v>26.964000000000002</v>
      </c>
      <c r="L197" s="16">
        <f t="shared" si="13"/>
        <v>1.2322355733570685</v>
      </c>
    </row>
    <row r="198" spans="1:12" ht="38.25">
      <c r="A198" s="1" t="s">
        <v>3848</v>
      </c>
      <c r="B198" s="7">
        <v>60.49</v>
      </c>
      <c r="C198" s="7">
        <v>62.24</v>
      </c>
      <c r="D198" s="16">
        <f t="shared" si="15"/>
        <v>2.8930401719292443E-2</v>
      </c>
      <c r="E198" s="9">
        <v>57.12</v>
      </c>
      <c r="F198" s="16">
        <f t="shared" si="10"/>
        <v>8.9635854341736779E-2</v>
      </c>
      <c r="G198" s="40"/>
      <c r="H198" s="16"/>
      <c r="I198" s="16"/>
      <c r="J198">
        <v>19.260000000000002</v>
      </c>
      <c r="K198">
        <f t="shared" si="11"/>
        <v>26.964000000000002</v>
      </c>
      <c r="L198" s="16">
        <f t="shared" si="13"/>
        <v>1.3082628690105322</v>
      </c>
    </row>
    <row r="199" spans="1:12">
      <c r="A199" s="6" t="s">
        <v>3598</v>
      </c>
      <c r="B199" s="7"/>
      <c r="C199" s="7"/>
      <c r="D199" s="16"/>
      <c r="E199" s="9"/>
      <c r="F199" s="16"/>
      <c r="G199" s="40"/>
      <c r="H199" s="16"/>
      <c r="I199" s="16"/>
      <c r="K199">
        <f t="shared" si="11"/>
        <v>0</v>
      </c>
      <c r="L199" s="16"/>
    </row>
    <row r="200" spans="1:12" ht="25.5">
      <c r="A200" s="1" t="s">
        <v>3849</v>
      </c>
      <c r="B200" s="7">
        <v>60.99</v>
      </c>
      <c r="C200" s="7">
        <v>62.74</v>
      </c>
      <c r="D200" s="16">
        <f t="shared" si="15"/>
        <v>2.8693228398098049E-2</v>
      </c>
      <c r="E200" s="9">
        <v>57.12</v>
      </c>
      <c r="F200" s="16">
        <f t="shared" si="10"/>
        <v>9.8389355742296999E-2</v>
      </c>
      <c r="G200" s="40"/>
      <c r="H200" s="16"/>
      <c r="I200" s="16"/>
      <c r="J200">
        <v>19.260000000000002</v>
      </c>
      <c r="K200">
        <f t="shared" si="11"/>
        <v>26.964000000000002</v>
      </c>
      <c r="L200" s="16">
        <f t="shared" si="13"/>
        <v>1.3268061118528405</v>
      </c>
    </row>
    <row r="201" spans="1:12" ht="25.5">
      <c r="A201" s="1" t="s">
        <v>3850</v>
      </c>
      <c r="B201" s="7">
        <v>59.44</v>
      </c>
      <c r="C201" s="7">
        <v>61.19</v>
      </c>
      <c r="D201" s="16">
        <f t="shared" si="15"/>
        <v>2.9441453566621804E-2</v>
      </c>
      <c r="E201" s="9">
        <v>57.12</v>
      </c>
      <c r="F201" s="16">
        <f t="shared" si="10"/>
        <v>7.1253501400560235E-2</v>
      </c>
      <c r="G201" s="40"/>
      <c r="H201" s="16"/>
      <c r="I201" s="16"/>
      <c r="J201">
        <v>19.260000000000002</v>
      </c>
      <c r="K201">
        <f t="shared" si="11"/>
        <v>26.964000000000002</v>
      </c>
      <c r="L201" s="16">
        <f t="shared" si="13"/>
        <v>1.2693220590416852</v>
      </c>
    </row>
    <row r="202" spans="1:12" ht="38.25">
      <c r="A202" s="1" t="s">
        <v>3851</v>
      </c>
      <c r="B202" s="7">
        <v>59.44</v>
      </c>
      <c r="C202" s="7">
        <v>61.19</v>
      </c>
      <c r="D202" s="16">
        <f t="shared" si="15"/>
        <v>2.9441453566621804E-2</v>
      </c>
      <c r="E202" s="9">
        <v>57.12</v>
      </c>
      <c r="F202" s="16">
        <f t="shared" si="10"/>
        <v>7.1253501400560235E-2</v>
      </c>
      <c r="G202" s="40"/>
      <c r="H202" s="16"/>
      <c r="I202" s="16"/>
      <c r="J202">
        <v>19.260000000000002</v>
      </c>
      <c r="K202">
        <f t="shared" si="11"/>
        <v>26.964000000000002</v>
      </c>
      <c r="L202" s="16">
        <f t="shared" si="13"/>
        <v>1.2693220590416852</v>
      </c>
    </row>
    <row r="203" spans="1:12" ht="38.25">
      <c r="A203" s="1" t="s">
        <v>3852</v>
      </c>
      <c r="B203" s="7">
        <v>60.99</v>
      </c>
      <c r="C203" s="7">
        <v>62.74</v>
      </c>
      <c r="D203" s="16">
        <f t="shared" si="15"/>
        <v>2.8693228398098049E-2</v>
      </c>
      <c r="E203" s="9">
        <v>57.12</v>
      </c>
      <c r="F203" s="16">
        <f t="shared" si="10"/>
        <v>9.8389355742296999E-2</v>
      </c>
      <c r="G203" s="40"/>
      <c r="H203" s="16"/>
      <c r="I203" s="16"/>
      <c r="J203">
        <v>19.260000000000002</v>
      </c>
      <c r="K203">
        <f t="shared" si="11"/>
        <v>26.964000000000002</v>
      </c>
      <c r="L203" s="16">
        <f t="shared" si="13"/>
        <v>1.3268061118528405</v>
      </c>
    </row>
    <row r="204" spans="1:12" ht="12.75" customHeight="1">
      <c r="A204" s="1" t="s">
        <v>3853</v>
      </c>
      <c r="B204" s="7">
        <v>61.44</v>
      </c>
      <c r="C204" s="7">
        <v>63.19</v>
      </c>
      <c r="D204" s="16">
        <f t="shared" si="15"/>
        <v>2.8483072916666668E-2</v>
      </c>
      <c r="E204" s="9">
        <v>57.12</v>
      </c>
      <c r="F204" s="16">
        <f t="shared" si="10"/>
        <v>0.10626750700280113</v>
      </c>
      <c r="G204" s="40"/>
      <c r="H204" s="16"/>
      <c r="I204" s="16"/>
      <c r="J204">
        <v>19.260000000000002</v>
      </c>
      <c r="K204">
        <f t="shared" si="11"/>
        <v>26.964000000000002</v>
      </c>
      <c r="L204" s="16">
        <f t="shared" si="13"/>
        <v>1.3434950304109181</v>
      </c>
    </row>
    <row r="205" spans="1:12">
      <c r="A205" s="6" t="s">
        <v>3790</v>
      </c>
      <c r="B205" s="7"/>
      <c r="C205" s="7"/>
      <c r="D205" s="16"/>
      <c r="E205" s="9"/>
      <c r="F205" s="16"/>
      <c r="G205" s="40"/>
      <c r="H205" s="16"/>
      <c r="I205" s="16"/>
      <c r="K205">
        <f t="shared" si="11"/>
        <v>0</v>
      </c>
      <c r="L205" s="16"/>
    </row>
    <row r="206" spans="1:12" ht="25.5">
      <c r="A206" s="1" t="s">
        <v>3854</v>
      </c>
      <c r="B206" s="7">
        <v>63.63</v>
      </c>
      <c r="C206" s="7">
        <v>65.38</v>
      </c>
      <c r="D206" s="16">
        <f t="shared" ref="D206:D215" si="16">(C206-B206)/B206</f>
        <v>2.7502750275027389E-2</v>
      </c>
      <c r="E206" s="9">
        <v>57.12</v>
      </c>
      <c r="F206" s="16">
        <f t="shared" si="10"/>
        <v>0.14460784313725486</v>
      </c>
      <c r="G206" s="40"/>
      <c r="H206" s="16"/>
      <c r="I206" s="16"/>
      <c r="J206">
        <v>19.260000000000002</v>
      </c>
      <c r="K206">
        <f t="shared" si="11"/>
        <v>26.964000000000002</v>
      </c>
      <c r="L206" s="16">
        <f t="shared" si="13"/>
        <v>1.4247144340602282</v>
      </c>
    </row>
    <row r="207" spans="1:12" ht="25.5">
      <c r="A207" s="1" t="s">
        <v>3855</v>
      </c>
      <c r="B207" s="7">
        <v>60.44</v>
      </c>
      <c r="C207" s="7">
        <v>62.19</v>
      </c>
      <c r="D207" s="16">
        <f t="shared" si="16"/>
        <v>2.8954334877564526E-2</v>
      </c>
      <c r="E207" s="9">
        <v>57.12</v>
      </c>
      <c r="F207" s="16">
        <f t="shared" si="10"/>
        <v>8.8760504201680676E-2</v>
      </c>
      <c r="G207" s="40"/>
      <c r="H207" s="16"/>
      <c r="I207" s="16"/>
      <c r="J207">
        <v>19.260000000000002</v>
      </c>
      <c r="K207">
        <f t="shared" si="11"/>
        <v>26.964000000000002</v>
      </c>
      <c r="L207" s="16">
        <f t="shared" si="13"/>
        <v>1.3064085447263016</v>
      </c>
    </row>
    <row r="208" spans="1:12" ht="38.25">
      <c r="A208" s="1" t="s">
        <v>3856</v>
      </c>
      <c r="B208" s="7">
        <v>60.44</v>
      </c>
      <c r="C208" s="7">
        <v>62.19</v>
      </c>
      <c r="D208" s="16">
        <f t="shared" si="16"/>
        <v>2.8954334877564526E-2</v>
      </c>
      <c r="E208" s="9">
        <v>57.12</v>
      </c>
      <c r="F208" s="16">
        <f t="shared" si="10"/>
        <v>8.8760504201680676E-2</v>
      </c>
      <c r="G208" s="40"/>
      <c r="H208" s="16"/>
      <c r="I208" s="16"/>
      <c r="J208">
        <v>19.260000000000002</v>
      </c>
      <c r="K208">
        <f t="shared" si="11"/>
        <v>26.964000000000002</v>
      </c>
      <c r="L208" s="16">
        <f t="shared" si="13"/>
        <v>1.3064085447263016</v>
      </c>
    </row>
    <row r="209" spans="1:12" ht="25.5">
      <c r="A209" s="1" t="s">
        <v>3857</v>
      </c>
      <c r="B209" s="7">
        <v>63.63</v>
      </c>
      <c r="C209" s="7">
        <v>65.38</v>
      </c>
      <c r="D209" s="16">
        <f t="shared" si="16"/>
        <v>2.7502750275027389E-2</v>
      </c>
      <c r="E209" s="9">
        <v>57.12</v>
      </c>
      <c r="F209" s="16">
        <f t="shared" si="10"/>
        <v>0.14460784313725486</v>
      </c>
      <c r="G209" s="40"/>
      <c r="H209" s="16"/>
      <c r="I209" s="16"/>
      <c r="J209">
        <v>19.260000000000002</v>
      </c>
      <c r="K209">
        <f t="shared" si="11"/>
        <v>26.964000000000002</v>
      </c>
      <c r="L209" s="16">
        <f t="shared" si="13"/>
        <v>1.4247144340602282</v>
      </c>
    </row>
    <row r="210" spans="1:12">
      <c r="A210" s="6" t="s">
        <v>3791</v>
      </c>
      <c r="B210" s="7"/>
      <c r="C210" s="7"/>
      <c r="D210" s="16"/>
      <c r="E210" s="9"/>
      <c r="F210" s="16"/>
      <c r="G210" s="40"/>
      <c r="H210" s="16"/>
      <c r="I210" s="16"/>
      <c r="K210">
        <f t="shared" si="11"/>
        <v>0</v>
      </c>
      <c r="L210" s="16"/>
    </row>
    <row r="211" spans="1:12" ht="12.75" customHeight="1">
      <c r="A211" s="1" t="s">
        <v>3858</v>
      </c>
      <c r="B211" s="7">
        <v>65</v>
      </c>
      <c r="C211" s="7">
        <v>66.75</v>
      </c>
      <c r="D211" s="16">
        <f t="shared" si="16"/>
        <v>2.6923076923076925E-2</v>
      </c>
      <c r="E211" s="9">
        <v>57.12</v>
      </c>
      <c r="F211" s="16">
        <f t="shared" si="10"/>
        <v>0.16859243697478996</v>
      </c>
      <c r="G211" s="40"/>
      <c r="H211" s="16"/>
      <c r="I211" s="16"/>
      <c r="J211">
        <v>19.260000000000002</v>
      </c>
      <c r="K211">
        <f t="shared" si="11"/>
        <v>26.964000000000002</v>
      </c>
      <c r="L211" s="16">
        <f t="shared" si="13"/>
        <v>1.4755229194481529</v>
      </c>
    </row>
    <row r="212" spans="1:12" ht="12.75" customHeight="1">
      <c r="A212" s="1" t="s">
        <v>3859</v>
      </c>
      <c r="B212" s="7">
        <v>61.44</v>
      </c>
      <c r="C212" s="7">
        <v>63.19</v>
      </c>
      <c r="D212" s="16">
        <f t="shared" si="16"/>
        <v>2.8483072916666668E-2</v>
      </c>
      <c r="E212" s="9">
        <v>57.12</v>
      </c>
      <c r="F212" s="16">
        <f t="shared" si="10"/>
        <v>0.10626750700280113</v>
      </c>
      <c r="G212" s="40"/>
      <c r="H212" s="16"/>
      <c r="I212" s="16"/>
      <c r="J212">
        <v>19.260000000000002</v>
      </c>
      <c r="K212">
        <f t="shared" si="11"/>
        <v>26.964000000000002</v>
      </c>
      <c r="L212" s="16">
        <f t="shared" si="13"/>
        <v>1.3434950304109181</v>
      </c>
    </row>
    <row r="213" spans="1:12" ht="12.75" customHeight="1">
      <c r="A213" s="1" t="s">
        <v>3860</v>
      </c>
      <c r="B213" s="7">
        <v>61.44</v>
      </c>
      <c r="C213" s="7">
        <v>63.19</v>
      </c>
      <c r="D213" s="16">
        <f t="shared" si="16"/>
        <v>2.8483072916666668E-2</v>
      </c>
      <c r="E213" s="9">
        <v>57.12</v>
      </c>
      <c r="F213" s="16">
        <f>(C213-E213)/E213</f>
        <v>0.10626750700280113</v>
      </c>
      <c r="G213" s="40"/>
      <c r="H213" s="16"/>
      <c r="I213" s="16"/>
      <c r="J213">
        <v>19.260000000000002</v>
      </c>
      <c r="K213">
        <f t="shared" si="11"/>
        <v>26.964000000000002</v>
      </c>
      <c r="L213" s="16">
        <f t="shared" si="13"/>
        <v>1.3434950304109181</v>
      </c>
    </row>
    <row r="214" spans="1:12" ht="25.5">
      <c r="A214" s="1" t="s">
        <v>3861</v>
      </c>
      <c r="B214" s="7">
        <v>61.44</v>
      </c>
      <c r="C214" s="7">
        <v>63.19</v>
      </c>
      <c r="D214" s="16">
        <f t="shared" si="16"/>
        <v>2.8483072916666668E-2</v>
      </c>
      <c r="E214" s="9">
        <v>57.12</v>
      </c>
      <c r="F214" s="16">
        <f>(C214-E214)/E214</f>
        <v>0.10626750700280113</v>
      </c>
      <c r="G214" s="40"/>
      <c r="H214" s="16"/>
      <c r="I214" s="16"/>
      <c r="J214">
        <v>19.260000000000002</v>
      </c>
      <c r="K214">
        <f t="shared" si="11"/>
        <v>26.964000000000002</v>
      </c>
      <c r="L214" s="16">
        <f t="shared" si="13"/>
        <v>1.3434950304109181</v>
      </c>
    </row>
    <row r="215" spans="1:12" ht="12.75" customHeight="1">
      <c r="A215" s="1" t="s">
        <v>3862</v>
      </c>
      <c r="B215" s="7">
        <v>65</v>
      </c>
      <c r="C215" s="7">
        <v>66.75</v>
      </c>
      <c r="D215" s="16">
        <f t="shared" si="16"/>
        <v>2.6923076923076925E-2</v>
      </c>
      <c r="E215" s="9">
        <v>57.12</v>
      </c>
      <c r="F215" s="16">
        <f>(C215-E215)/E215</f>
        <v>0.16859243697478996</v>
      </c>
      <c r="G215" s="40"/>
      <c r="H215" s="16"/>
      <c r="I215" s="16"/>
      <c r="J215">
        <v>19.260000000000002</v>
      </c>
      <c r="K215">
        <f t="shared" ref="K215:K278" si="17">J215*1.4</f>
        <v>26.964000000000002</v>
      </c>
      <c r="L215" s="16">
        <f t="shared" si="13"/>
        <v>1.4755229194481529</v>
      </c>
    </row>
    <row r="216" spans="1:12" ht="12.75" customHeight="1">
      <c r="A216" s="1" t="s">
        <v>3863</v>
      </c>
      <c r="B216" s="11" t="s">
        <v>3534</v>
      </c>
      <c r="C216" s="11" t="s">
        <v>3534</v>
      </c>
      <c r="D216" s="16"/>
      <c r="E216" s="9"/>
      <c r="F216" s="16"/>
      <c r="G216" s="40"/>
      <c r="H216" s="16"/>
      <c r="I216" s="16"/>
      <c r="K216">
        <f t="shared" si="17"/>
        <v>0</v>
      </c>
      <c r="L216" s="16"/>
    </row>
    <row r="217" spans="1:12" ht="12.75" customHeight="1">
      <c r="A217" s="1" t="s">
        <v>3805</v>
      </c>
      <c r="B217" s="11" t="s">
        <v>3534</v>
      </c>
      <c r="C217" s="11" t="s">
        <v>3534</v>
      </c>
      <c r="D217" s="16"/>
      <c r="E217" s="9"/>
      <c r="F217" s="16"/>
      <c r="G217" s="40"/>
      <c r="H217" s="16"/>
      <c r="I217" s="16"/>
      <c r="K217">
        <f t="shared" si="17"/>
        <v>0</v>
      </c>
      <c r="L217" s="16"/>
    </row>
    <row r="218" spans="1:12">
      <c r="A218" s="1"/>
      <c r="B218" s="7"/>
      <c r="C218" s="7"/>
      <c r="D218" s="16"/>
      <c r="E218" s="9"/>
      <c r="F218" s="16"/>
      <c r="G218" s="40"/>
      <c r="H218" s="16"/>
      <c r="I218" s="16"/>
      <c r="K218">
        <f t="shared" si="17"/>
        <v>0</v>
      </c>
      <c r="L218" s="16"/>
    </row>
    <row r="219" spans="1:12">
      <c r="A219" s="1"/>
      <c r="B219" s="7"/>
      <c r="C219" s="10"/>
      <c r="D219" s="16"/>
      <c r="E219" s="9"/>
      <c r="F219" s="16"/>
      <c r="G219" s="40"/>
      <c r="H219" s="16"/>
      <c r="I219" s="16"/>
      <c r="K219">
        <f t="shared" si="17"/>
        <v>0</v>
      </c>
      <c r="L219" s="16"/>
    </row>
    <row r="220" spans="1:12" ht="12.75" customHeight="1">
      <c r="A220" s="2" t="s">
        <v>3865</v>
      </c>
      <c r="B220" s="10"/>
      <c r="D220" s="16"/>
      <c r="E220" s="9"/>
      <c r="F220" s="16"/>
      <c r="G220" s="40"/>
      <c r="H220" s="16"/>
      <c r="I220" s="16"/>
      <c r="K220">
        <f t="shared" si="17"/>
        <v>0</v>
      </c>
      <c r="L220" s="16"/>
    </row>
    <row r="221" spans="1:12" ht="12.75" customHeight="1">
      <c r="A221" s="3" t="s">
        <v>3569</v>
      </c>
      <c r="B221" s="12" t="s">
        <v>3510</v>
      </c>
      <c r="C221" s="12" t="s">
        <v>3510</v>
      </c>
      <c r="D221" s="16"/>
      <c r="E221" s="9"/>
      <c r="F221" s="16"/>
      <c r="G221" s="40"/>
      <c r="H221" s="16"/>
      <c r="I221" s="16"/>
      <c r="K221">
        <f t="shared" si="17"/>
        <v>0</v>
      </c>
      <c r="L221" s="16"/>
    </row>
    <row r="222" spans="1:12" ht="12.75" customHeight="1">
      <c r="A222" s="1" t="s">
        <v>3573</v>
      </c>
      <c r="B222" s="7">
        <v>55.77</v>
      </c>
      <c r="C222" s="7">
        <v>57.52</v>
      </c>
      <c r="D222" s="16">
        <f t="shared" ref="D222:D230" si="18">(C222-B222)/B222</f>
        <v>3.1378877532723684E-2</v>
      </c>
      <c r="E222" s="9">
        <v>57.12</v>
      </c>
      <c r="F222" s="16">
        <f t="shared" ref="F222:F230" si="19">(C222-E222)/E222</f>
        <v>7.0028011204482793E-3</v>
      </c>
      <c r="G222" s="40"/>
      <c r="H222" s="16"/>
      <c r="I222" s="16"/>
      <c r="J222">
        <v>19.260000000000002</v>
      </c>
      <c r="K222">
        <f t="shared" si="17"/>
        <v>26.964000000000002</v>
      </c>
      <c r="L222" s="16">
        <f t="shared" si="13"/>
        <v>1.1332146565791426</v>
      </c>
    </row>
    <row r="223" spans="1:12" ht="12.75" customHeight="1">
      <c r="A223" s="1" t="s">
        <v>3575</v>
      </c>
      <c r="B223" s="7">
        <v>56.72</v>
      </c>
      <c r="C223" s="7">
        <v>58.47</v>
      </c>
      <c r="D223" s="16">
        <f t="shared" si="18"/>
        <v>3.0853314527503527E-2</v>
      </c>
      <c r="E223" s="9">
        <v>57.12</v>
      </c>
      <c r="F223" s="16">
        <f t="shared" si="19"/>
        <v>2.3634453781512632E-2</v>
      </c>
      <c r="G223" s="40"/>
      <c r="H223" s="16"/>
      <c r="I223" s="16"/>
      <c r="J223">
        <v>19.260000000000002</v>
      </c>
      <c r="K223">
        <f t="shared" si="17"/>
        <v>26.964000000000002</v>
      </c>
      <c r="L223" s="16">
        <f t="shared" si="13"/>
        <v>1.168446817979528</v>
      </c>
    </row>
    <row r="224" spans="1:12" ht="12.75" customHeight="1">
      <c r="A224" s="1" t="s">
        <v>3576</v>
      </c>
      <c r="B224" s="7">
        <v>57.01</v>
      </c>
      <c r="C224" s="7">
        <v>58.76</v>
      </c>
      <c r="D224" s="16">
        <f t="shared" si="18"/>
        <v>3.0696369058059992E-2</v>
      </c>
      <c r="E224" s="9">
        <v>57.12</v>
      </c>
      <c r="F224" s="16">
        <f t="shared" si="19"/>
        <v>2.8711484593837548E-2</v>
      </c>
      <c r="G224" s="40"/>
      <c r="H224" s="16"/>
      <c r="I224" s="16"/>
      <c r="J224">
        <v>19.260000000000002</v>
      </c>
      <c r="K224">
        <f t="shared" si="17"/>
        <v>26.964000000000002</v>
      </c>
      <c r="L224" s="16">
        <f t="shared" si="13"/>
        <v>1.1792018988280668</v>
      </c>
    </row>
    <row r="225" spans="1:12" ht="12.75" customHeight="1">
      <c r="A225" s="1" t="s">
        <v>3577</v>
      </c>
      <c r="B225" s="7">
        <v>57.15</v>
      </c>
      <c r="C225" s="7">
        <v>58.9</v>
      </c>
      <c r="D225" s="16">
        <f t="shared" si="18"/>
        <v>3.0621172353455819E-2</v>
      </c>
      <c r="E225" s="9">
        <v>57.12</v>
      </c>
      <c r="F225" s="16">
        <f t="shared" si="19"/>
        <v>3.1162464985994419E-2</v>
      </c>
      <c r="G225" s="40"/>
      <c r="H225" s="16"/>
      <c r="I225" s="16"/>
      <c r="J225">
        <v>19.260000000000002</v>
      </c>
      <c r="K225">
        <f t="shared" si="17"/>
        <v>26.964000000000002</v>
      </c>
      <c r="L225" s="16">
        <f t="shared" si="13"/>
        <v>1.1843940068239132</v>
      </c>
    </row>
    <row r="226" spans="1:12" ht="12.75" customHeight="1">
      <c r="A226" s="1" t="s">
        <v>3579</v>
      </c>
      <c r="B226" s="7">
        <v>57.37</v>
      </c>
      <c r="C226" s="7">
        <v>59.12</v>
      </c>
      <c r="D226" s="16">
        <f t="shared" si="18"/>
        <v>3.0503747603276975E-2</v>
      </c>
      <c r="E226" s="9">
        <v>57.12</v>
      </c>
      <c r="F226" s="16">
        <f t="shared" si="19"/>
        <v>3.5014005602240897E-2</v>
      </c>
      <c r="G226" s="40"/>
      <c r="H226" s="16"/>
      <c r="I226" s="16"/>
      <c r="J226">
        <v>19.260000000000002</v>
      </c>
      <c r="K226">
        <f t="shared" si="17"/>
        <v>26.964000000000002</v>
      </c>
      <c r="L226" s="16">
        <f t="shared" si="13"/>
        <v>1.1925530336745287</v>
      </c>
    </row>
    <row r="227" spans="1:12" ht="12.75" customHeight="1">
      <c r="A227" s="1" t="s">
        <v>3580</v>
      </c>
      <c r="B227" s="7">
        <v>57.48</v>
      </c>
      <c r="C227" s="7">
        <v>59.23</v>
      </c>
      <c r="D227" s="16">
        <f t="shared" si="18"/>
        <v>3.0445372303409882E-2</v>
      </c>
      <c r="E227" s="9">
        <v>57.12</v>
      </c>
      <c r="F227" s="16">
        <f t="shared" si="19"/>
        <v>3.6939775910364139E-2</v>
      </c>
      <c r="G227" s="40"/>
      <c r="H227" s="16"/>
      <c r="I227" s="16"/>
      <c r="J227">
        <v>19.260000000000002</v>
      </c>
      <c r="K227">
        <f t="shared" si="17"/>
        <v>26.964000000000002</v>
      </c>
      <c r="L227" s="16">
        <f t="shared" si="13"/>
        <v>1.1966325470998365</v>
      </c>
    </row>
    <row r="228" spans="1:12" ht="12.75" customHeight="1">
      <c r="A228" s="1" t="s">
        <v>3593</v>
      </c>
      <c r="B228" s="7">
        <v>57.6</v>
      </c>
      <c r="C228" s="7">
        <v>59.35</v>
      </c>
      <c r="D228" s="16">
        <f t="shared" si="18"/>
        <v>3.0381944444444444E-2</v>
      </c>
      <c r="E228" s="9">
        <v>57.12</v>
      </c>
      <c r="F228" s="16">
        <f t="shared" si="19"/>
        <v>3.9040616246498669E-2</v>
      </c>
      <c r="G228" s="40"/>
      <c r="H228" s="16"/>
      <c r="I228" s="16"/>
      <c r="J228">
        <v>19.260000000000002</v>
      </c>
      <c r="K228">
        <f t="shared" si="17"/>
        <v>26.964000000000002</v>
      </c>
      <c r="L228" s="16">
        <f t="shared" si="13"/>
        <v>1.2010829253819906</v>
      </c>
    </row>
    <row r="229" spans="1:12" ht="12.75" customHeight="1">
      <c r="A229" s="1" t="s">
        <v>3594</v>
      </c>
      <c r="B229" s="7">
        <v>57.77</v>
      </c>
      <c r="C229" s="7">
        <v>59.52</v>
      </c>
      <c r="D229" s="16">
        <f t="shared" si="18"/>
        <v>3.0292539380301194E-2</v>
      </c>
      <c r="E229" s="9">
        <v>57.12</v>
      </c>
      <c r="F229" s="16">
        <f t="shared" si="19"/>
        <v>4.2016806722689176E-2</v>
      </c>
      <c r="G229" s="40"/>
      <c r="H229" s="16"/>
      <c r="I229" s="16"/>
      <c r="J229">
        <v>19.260000000000002</v>
      </c>
      <c r="K229">
        <f t="shared" si="17"/>
        <v>26.964000000000002</v>
      </c>
      <c r="L229" s="16">
        <f t="shared" si="13"/>
        <v>1.2073876279483755</v>
      </c>
    </row>
    <row r="230" spans="1:12" ht="12.75" customHeight="1">
      <c r="A230" s="1" t="s">
        <v>3595</v>
      </c>
      <c r="B230" s="7">
        <v>57.9</v>
      </c>
      <c r="C230" s="7">
        <v>59.65</v>
      </c>
      <c r="D230" s="16">
        <f t="shared" si="18"/>
        <v>3.0224525043177894E-2</v>
      </c>
      <c r="E230" s="9">
        <v>57.12</v>
      </c>
      <c r="F230" s="16">
        <f t="shared" si="19"/>
        <v>4.4292717086834757E-2</v>
      </c>
      <c r="G230" s="40"/>
      <c r="H230" s="16"/>
      <c r="I230" s="16"/>
      <c r="J230">
        <v>19.260000000000002</v>
      </c>
      <c r="K230">
        <f t="shared" si="17"/>
        <v>26.964000000000002</v>
      </c>
      <c r="L230" s="16">
        <f t="shared" si="13"/>
        <v>1.2122088710873753</v>
      </c>
    </row>
    <row r="231" spans="1:12">
      <c r="A231" s="1"/>
      <c r="B231" s="7"/>
      <c r="C231" s="7"/>
      <c r="D231" s="16"/>
      <c r="E231" s="9"/>
      <c r="F231" s="16"/>
      <c r="G231" s="40"/>
      <c r="H231" s="16"/>
      <c r="I231" s="16"/>
      <c r="K231">
        <f t="shared" si="17"/>
        <v>0</v>
      </c>
      <c r="L231" s="16"/>
    </row>
    <row r="232" spans="1:12">
      <c r="A232" s="2" t="s">
        <v>3866</v>
      </c>
      <c r="B232" s="7"/>
      <c r="C232" s="31" t="s">
        <v>3498</v>
      </c>
      <c r="D232" s="43"/>
      <c r="E232" s="44"/>
      <c r="F232" s="43"/>
      <c r="G232" s="23" t="s">
        <v>3983</v>
      </c>
      <c r="H232" s="43">
        <f>AVERAGE(F233:F234)</f>
        <v>-1.5985790408525727E-2</v>
      </c>
      <c r="I232" s="43"/>
      <c r="J232" s="8"/>
      <c r="K232">
        <f t="shared" si="17"/>
        <v>0</v>
      </c>
      <c r="L232" s="43"/>
    </row>
    <row r="233" spans="1:12" ht="12.75" customHeight="1">
      <c r="A233" s="1" t="s">
        <v>3867</v>
      </c>
      <c r="B233" s="7">
        <v>46.23</v>
      </c>
      <c r="C233" s="7">
        <v>32.74</v>
      </c>
      <c r="D233" s="16">
        <f>(C233-B233)/B233</f>
        <v>-0.29180186026389782</v>
      </c>
      <c r="E233" s="9">
        <v>33.78</v>
      </c>
      <c r="F233" s="16">
        <f>(C233-E233)/E233</f>
        <v>-3.0787448194197722E-2</v>
      </c>
      <c r="G233" s="40"/>
      <c r="H233" s="16"/>
      <c r="I233" s="16"/>
      <c r="K233">
        <f t="shared" si="17"/>
        <v>0</v>
      </c>
      <c r="L233" s="16"/>
    </row>
    <row r="234" spans="1:12">
      <c r="A234" s="1" t="s">
        <v>3868</v>
      </c>
      <c r="B234" s="7">
        <v>49.35</v>
      </c>
      <c r="C234" s="7">
        <v>33.74</v>
      </c>
      <c r="D234" s="16">
        <f>(C234-B234)/B234</f>
        <v>-0.31631205673758861</v>
      </c>
      <c r="E234" s="9">
        <v>33.78</v>
      </c>
      <c r="F234" s="16">
        <f>(C234-E234)/E234</f>
        <v>-1.1841326228537344E-3</v>
      </c>
      <c r="G234" s="40"/>
      <c r="H234" s="16"/>
      <c r="I234" s="16"/>
      <c r="K234">
        <f t="shared" si="17"/>
        <v>0</v>
      </c>
      <c r="L234" s="16"/>
    </row>
    <row r="235" spans="1:12">
      <c r="A235" s="1"/>
      <c r="B235" s="7"/>
      <c r="C235" s="7"/>
      <c r="D235" s="16"/>
      <c r="E235" s="9"/>
      <c r="F235" s="16"/>
      <c r="G235" s="40"/>
      <c r="H235" s="16"/>
      <c r="I235" s="16"/>
      <c r="K235">
        <f t="shared" si="17"/>
        <v>0</v>
      </c>
      <c r="L235" s="16"/>
    </row>
    <row r="236" spans="1:12" ht="12.75" customHeight="1">
      <c r="A236" s="2" t="s">
        <v>3626</v>
      </c>
      <c r="B236" s="10"/>
      <c r="C236" s="10"/>
      <c r="D236" s="16"/>
      <c r="E236" s="9"/>
      <c r="F236" s="16"/>
      <c r="G236" s="23" t="s">
        <v>3983</v>
      </c>
      <c r="H236" s="16"/>
      <c r="I236" s="16"/>
      <c r="K236">
        <f t="shared" si="17"/>
        <v>0</v>
      </c>
      <c r="L236" s="16"/>
    </row>
    <row r="237" spans="1:12">
      <c r="A237" s="1" t="s">
        <v>3627</v>
      </c>
      <c r="B237" s="7">
        <v>34.270000000000003</v>
      </c>
      <c r="C237" s="7">
        <v>34.270000000000003</v>
      </c>
      <c r="D237" s="16">
        <f>(C237-B237)/B237</f>
        <v>0</v>
      </c>
      <c r="E237" s="9"/>
      <c r="F237" s="16"/>
      <c r="G237" s="40"/>
      <c r="H237" s="16"/>
      <c r="I237" s="16"/>
      <c r="K237">
        <f t="shared" si="17"/>
        <v>0</v>
      </c>
      <c r="L237" s="16"/>
    </row>
    <row r="238" spans="1:12">
      <c r="A238" s="1" t="s">
        <v>3628</v>
      </c>
      <c r="B238" s="7">
        <v>35.590000000000003</v>
      </c>
      <c r="C238" s="7">
        <v>35.590000000000003</v>
      </c>
      <c r="D238" s="16">
        <f>(C238-B238)/B238</f>
        <v>0</v>
      </c>
      <c r="E238" s="9"/>
      <c r="F238" s="16"/>
      <c r="G238" s="40"/>
      <c r="H238" s="16"/>
      <c r="I238" s="16"/>
      <c r="K238">
        <f t="shared" si="17"/>
        <v>0</v>
      </c>
      <c r="L238" s="16"/>
    </row>
    <row r="239" spans="1:12">
      <c r="A239" s="1"/>
      <c r="B239" s="7"/>
      <c r="C239" s="7"/>
      <c r="D239" s="16"/>
      <c r="E239" s="9"/>
      <c r="F239" s="16"/>
      <c r="G239" s="40"/>
      <c r="H239" s="16"/>
      <c r="I239" s="16"/>
      <c r="K239">
        <f t="shared" si="17"/>
        <v>0</v>
      </c>
      <c r="L239" s="16"/>
    </row>
    <row r="240" spans="1:12" ht="12.75" customHeight="1">
      <c r="A240" s="2" t="s">
        <v>3629</v>
      </c>
      <c r="B240" s="12" t="s">
        <v>3510</v>
      </c>
      <c r="C240" s="31" t="s">
        <v>3981</v>
      </c>
      <c r="D240" s="43"/>
      <c r="E240" s="44"/>
      <c r="F240" s="43"/>
      <c r="G240" s="23" t="s">
        <v>3983</v>
      </c>
      <c r="H240" s="43">
        <f>AVERAGE(F241)</f>
        <v>-1.3407821229050787E-3</v>
      </c>
      <c r="I240" s="43"/>
      <c r="J240" s="8"/>
      <c r="K240">
        <f t="shared" si="17"/>
        <v>0</v>
      </c>
      <c r="L240" s="43"/>
    </row>
    <row r="241" spans="1:12" ht="12.75" customHeight="1">
      <c r="A241" s="1" t="s">
        <v>3694</v>
      </c>
      <c r="B241" s="7">
        <v>44.69</v>
      </c>
      <c r="C241" s="7">
        <v>44.69</v>
      </c>
      <c r="D241" s="16">
        <f>(C241-B241)/B241</f>
        <v>0</v>
      </c>
      <c r="E241" s="9">
        <v>44.75</v>
      </c>
      <c r="F241" s="16">
        <f>(C241-E241)/E241</f>
        <v>-1.3407821229050787E-3</v>
      </c>
      <c r="G241" s="40"/>
      <c r="H241" s="16"/>
      <c r="I241" s="16"/>
      <c r="K241">
        <f t="shared" si="17"/>
        <v>0</v>
      </c>
      <c r="L241" s="16"/>
    </row>
    <row r="242" spans="1:12">
      <c r="A242" s="1"/>
      <c r="B242" s="7"/>
      <c r="C242" s="7"/>
      <c r="D242" s="16"/>
      <c r="E242" s="9"/>
      <c r="F242" s="16"/>
      <c r="G242" s="40"/>
      <c r="H242" s="16"/>
      <c r="I242" s="16"/>
      <c r="K242">
        <f t="shared" si="17"/>
        <v>0</v>
      </c>
      <c r="L242" s="16"/>
    </row>
    <row r="243" spans="1:12">
      <c r="A243" s="1"/>
      <c r="B243" s="7"/>
      <c r="C243" s="7"/>
      <c r="D243" s="16"/>
      <c r="E243" s="9"/>
      <c r="F243" s="16"/>
      <c r="G243" s="40"/>
      <c r="H243" s="16"/>
      <c r="I243" s="16"/>
      <c r="K243">
        <f t="shared" si="17"/>
        <v>0</v>
      </c>
      <c r="L243" s="16"/>
    </row>
    <row r="244" spans="1:12" ht="12.75" customHeight="1">
      <c r="A244" s="2" t="s">
        <v>3632</v>
      </c>
      <c r="B244" s="11" t="s">
        <v>3534</v>
      </c>
      <c r="C244" s="31" t="s">
        <v>3995</v>
      </c>
      <c r="D244" s="43"/>
      <c r="E244" s="44"/>
      <c r="F244" s="43"/>
      <c r="G244" s="23" t="s">
        <v>3984</v>
      </c>
      <c r="H244" s="43"/>
      <c r="I244" s="43">
        <f>AVERAGE(F245:F247)</f>
        <v>0</v>
      </c>
      <c r="J244" s="8"/>
      <c r="K244">
        <f t="shared" si="17"/>
        <v>0</v>
      </c>
      <c r="L244" s="43"/>
    </row>
    <row r="245" spans="1:12" ht="12.75" customHeight="1">
      <c r="A245" s="1" t="s">
        <v>3876</v>
      </c>
      <c r="B245" s="7">
        <v>34.28</v>
      </c>
      <c r="C245" s="7">
        <v>26.1</v>
      </c>
      <c r="D245" s="16">
        <f>(C245-B245)/B245</f>
        <v>-0.23862310385064175</v>
      </c>
      <c r="E245" s="9">
        <v>26.1</v>
      </c>
      <c r="F245" s="16">
        <f>(C245-E245)/E245</f>
        <v>0</v>
      </c>
      <c r="G245" s="40"/>
      <c r="H245" s="16"/>
      <c r="I245" s="16"/>
      <c r="K245">
        <f t="shared" si="17"/>
        <v>0</v>
      </c>
      <c r="L245" s="16"/>
    </row>
    <row r="246" spans="1:12" ht="12.75" customHeight="1">
      <c r="A246" s="1" t="s">
        <v>3955</v>
      </c>
      <c r="B246" s="7">
        <v>34.28</v>
      </c>
      <c r="C246" s="7">
        <v>26.1</v>
      </c>
      <c r="D246" s="16">
        <f>(C246-B246)/B246</f>
        <v>-0.23862310385064175</v>
      </c>
      <c r="E246" s="9">
        <v>26.1</v>
      </c>
      <c r="F246" s="16">
        <f>(C246-E246)/E246</f>
        <v>0</v>
      </c>
      <c r="G246" s="40"/>
      <c r="H246" s="16"/>
      <c r="I246" s="16"/>
      <c r="K246">
        <f t="shared" si="17"/>
        <v>0</v>
      </c>
      <c r="L246" s="16"/>
    </row>
    <row r="247" spans="1:12" ht="12.75" customHeight="1">
      <c r="A247" s="1" t="s">
        <v>3956</v>
      </c>
      <c r="B247" s="7">
        <v>34.28</v>
      </c>
      <c r="C247" s="7">
        <v>26.1</v>
      </c>
      <c r="D247" s="16">
        <f>(C247-B247)/B247</f>
        <v>-0.23862310385064175</v>
      </c>
      <c r="E247" s="9">
        <v>26.1</v>
      </c>
      <c r="F247" s="16">
        <f>(C247-E247)/E247</f>
        <v>0</v>
      </c>
      <c r="G247" s="40"/>
      <c r="H247" s="16"/>
      <c r="I247" s="16"/>
      <c r="K247">
        <f t="shared" si="17"/>
        <v>0</v>
      </c>
      <c r="L247" s="16"/>
    </row>
    <row r="248" spans="1:12">
      <c r="A248" s="1"/>
      <c r="B248" s="7"/>
      <c r="C248" s="7"/>
      <c r="D248" s="16"/>
      <c r="E248" s="9"/>
      <c r="F248" s="16"/>
      <c r="G248" s="40"/>
      <c r="H248" s="16"/>
      <c r="I248" s="16"/>
      <c r="K248">
        <f t="shared" si="17"/>
        <v>0</v>
      </c>
      <c r="L248" s="16"/>
    </row>
    <row r="249" spans="1:12" ht="12.75" customHeight="1">
      <c r="A249" s="2" t="s">
        <v>3636</v>
      </c>
      <c r="B249" s="11" t="s">
        <v>3534</v>
      </c>
      <c r="C249" s="31" t="s">
        <v>3498</v>
      </c>
      <c r="D249" s="43"/>
      <c r="E249" s="44"/>
      <c r="F249" s="43"/>
      <c r="G249" s="23" t="s">
        <v>3983</v>
      </c>
      <c r="H249" s="43">
        <f>AVERAGE(F250:F252)</f>
        <v>-0.26093514328808454</v>
      </c>
      <c r="I249" s="43"/>
      <c r="J249" s="8"/>
      <c r="K249">
        <f t="shared" si="17"/>
        <v>0</v>
      </c>
      <c r="L249" s="43"/>
    </row>
    <row r="250" spans="1:12" ht="12.75" customHeight="1">
      <c r="A250" s="1" t="s">
        <v>3637</v>
      </c>
      <c r="B250" s="7">
        <v>27.55</v>
      </c>
      <c r="C250" s="7">
        <v>29.4</v>
      </c>
      <c r="D250" s="16">
        <f>(C250-B250)/B250</f>
        <v>6.7150635208711354E-2</v>
      </c>
      <c r="E250" s="9">
        <v>39.78</v>
      </c>
      <c r="F250" s="16">
        <f>(C250-E250)/E250</f>
        <v>-0.26093514328808454</v>
      </c>
      <c r="G250" s="40"/>
      <c r="H250" s="16"/>
      <c r="I250" s="16"/>
      <c r="K250">
        <f t="shared" si="17"/>
        <v>0</v>
      </c>
      <c r="L250" s="16"/>
    </row>
    <row r="251" spans="1:12" ht="12.75" customHeight="1">
      <c r="A251" s="1" t="s">
        <v>3877</v>
      </c>
      <c r="B251" s="7">
        <v>27.55</v>
      </c>
      <c r="C251" s="7">
        <v>29.4</v>
      </c>
      <c r="D251" s="16">
        <f>(C251-B251)/B251</f>
        <v>6.7150635208711354E-2</v>
      </c>
      <c r="E251" s="9">
        <v>39.78</v>
      </c>
      <c r="F251" s="16">
        <f>(C251-E251)/E251</f>
        <v>-0.26093514328808454</v>
      </c>
      <c r="G251" s="40"/>
      <c r="H251" s="16"/>
      <c r="I251" s="16"/>
      <c r="K251">
        <f t="shared" si="17"/>
        <v>0</v>
      </c>
      <c r="L251" s="16"/>
    </row>
    <row r="252" spans="1:12" ht="12.75" customHeight="1">
      <c r="A252" s="1" t="s">
        <v>3878</v>
      </c>
      <c r="B252" s="7">
        <v>27.55</v>
      </c>
      <c r="C252" s="7">
        <v>29.4</v>
      </c>
      <c r="D252" s="16">
        <f>(C252-B252)/B252</f>
        <v>6.7150635208711354E-2</v>
      </c>
      <c r="E252" s="9">
        <v>39.78</v>
      </c>
      <c r="F252" s="16">
        <f>(C252-E252)/E252</f>
        <v>-0.26093514328808454</v>
      </c>
      <c r="G252" s="40"/>
      <c r="H252" s="16"/>
      <c r="I252" s="16"/>
      <c r="K252">
        <f t="shared" si="17"/>
        <v>0</v>
      </c>
      <c r="L252" s="16"/>
    </row>
    <row r="253" spans="1:12">
      <c r="A253" s="1"/>
      <c r="B253" s="7"/>
      <c r="C253" s="7"/>
      <c r="D253" s="16"/>
      <c r="E253" s="9"/>
      <c r="F253" s="16"/>
      <c r="G253" s="40"/>
      <c r="H253" s="16"/>
      <c r="I253" s="16"/>
      <c r="K253">
        <f t="shared" si="17"/>
        <v>0</v>
      </c>
      <c r="L253" s="16"/>
    </row>
    <row r="254" spans="1:12">
      <c r="A254" s="2" t="s">
        <v>3965</v>
      </c>
      <c r="B254" s="11" t="s">
        <v>3534</v>
      </c>
      <c r="C254" s="11" t="s">
        <v>3534</v>
      </c>
      <c r="D254" s="16"/>
      <c r="E254" s="9"/>
      <c r="F254" s="16"/>
      <c r="G254" s="40"/>
      <c r="H254" s="16"/>
      <c r="I254" s="16"/>
      <c r="K254">
        <f t="shared" si="17"/>
        <v>0</v>
      </c>
      <c r="L254" s="16"/>
    </row>
    <row r="255" spans="1:12">
      <c r="A255" s="1" t="s">
        <v>3880</v>
      </c>
      <c r="B255" s="11"/>
      <c r="C255" s="33"/>
      <c r="D255" s="43"/>
      <c r="E255" s="44"/>
      <c r="F255" s="43"/>
      <c r="G255" s="23" t="s">
        <v>3983</v>
      </c>
      <c r="H255" s="43">
        <f>AVERAGE(F256)</f>
        <v>2.5133521834747674E-3</v>
      </c>
      <c r="I255" s="43"/>
      <c r="J255" s="8"/>
      <c r="K255">
        <f t="shared" si="17"/>
        <v>0</v>
      </c>
      <c r="L255" s="43"/>
    </row>
    <row r="256" spans="1:12" ht="12.75" customHeight="1">
      <c r="A256" s="1" t="s">
        <v>3639</v>
      </c>
      <c r="B256" s="7">
        <v>20.48</v>
      </c>
      <c r="C256" s="7">
        <v>31.91</v>
      </c>
      <c r="D256" s="16">
        <f>(C256-B256)/B256</f>
        <v>0.55810546875</v>
      </c>
      <c r="E256" s="9">
        <v>31.83</v>
      </c>
      <c r="F256" s="16">
        <f>(C256-E256)/E256</f>
        <v>2.5133521834747674E-3</v>
      </c>
      <c r="G256" s="40"/>
      <c r="H256" s="16"/>
      <c r="I256" s="16"/>
      <c r="K256">
        <f t="shared" si="17"/>
        <v>0</v>
      </c>
      <c r="L256" s="16"/>
    </row>
    <row r="257" spans="1:12">
      <c r="A257" s="1"/>
      <c r="B257" s="7"/>
      <c r="C257" s="7"/>
      <c r="D257" s="16"/>
      <c r="E257" s="9"/>
      <c r="F257" s="16"/>
      <c r="G257" s="40"/>
      <c r="H257" s="16"/>
      <c r="I257" s="16"/>
      <c r="K257">
        <f t="shared" si="17"/>
        <v>0</v>
      </c>
      <c r="L257" s="16"/>
    </row>
    <row r="258" spans="1:12" ht="12.75" customHeight="1">
      <c r="A258" s="2" t="s">
        <v>3640</v>
      </c>
      <c r="B258" s="12" t="s">
        <v>3510</v>
      </c>
      <c r="C258" s="12" t="s">
        <v>3510</v>
      </c>
      <c r="D258" s="43"/>
      <c r="E258" s="44"/>
      <c r="F258" s="43"/>
      <c r="G258" s="23" t="s">
        <v>3983</v>
      </c>
      <c r="H258" s="43">
        <f>AVERAGE(F259:F261)</f>
        <v>8.5341024770953566E-2</v>
      </c>
      <c r="I258" s="43"/>
      <c r="J258" s="8"/>
      <c r="K258">
        <f t="shared" si="17"/>
        <v>0</v>
      </c>
      <c r="L258" s="43"/>
    </row>
    <row r="259" spans="1:12" ht="12.75" customHeight="1">
      <c r="A259" s="1" t="s">
        <v>3934</v>
      </c>
      <c r="B259" s="7">
        <v>46.6</v>
      </c>
      <c r="C259" s="7">
        <v>59.52</v>
      </c>
      <c r="D259" s="16">
        <f>(C259-B259)/B259</f>
        <v>0.27725321888412019</v>
      </c>
      <c r="E259" s="9">
        <v>58.94</v>
      </c>
      <c r="F259" s="16">
        <f>(C259-E259)/E259</f>
        <v>9.840515778758151E-3</v>
      </c>
      <c r="G259" s="40"/>
      <c r="H259" s="16"/>
      <c r="I259" s="16"/>
      <c r="K259">
        <f t="shared" si="17"/>
        <v>0</v>
      </c>
      <c r="L259" s="16"/>
    </row>
    <row r="260" spans="1:12" ht="12.75" customHeight="1">
      <c r="A260" s="1" t="s">
        <v>3935</v>
      </c>
      <c r="B260" s="7">
        <v>49.62</v>
      </c>
      <c r="C260" s="7">
        <v>63.97</v>
      </c>
      <c r="D260" s="16">
        <f>(C260-B260)/B260</f>
        <v>0.2891979040709392</v>
      </c>
      <c r="E260" s="9">
        <v>58.94</v>
      </c>
      <c r="F260" s="16">
        <f>(C260-E260)/E260</f>
        <v>8.5341024770953539E-2</v>
      </c>
      <c r="G260" s="40"/>
      <c r="H260" s="16"/>
      <c r="I260" s="16"/>
      <c r="K260">
        <f t="shared" si="17"/>
        <v>0</v>
      </c>
      <c r="L260" s="16"/>
    </row>
    <row r="261" spans="1:12" ht="12.75" customHeight="1">
      <c r="A261" s="1" t="s">
        <v>3936</v>
      </c>
      <c r="B261" s="7">
        <v>52.64</v>
      </c>
      <c r="C261" s="7">
        <v>68.42</v>
      </c>
      <c r="D261" s="16">
        <f>(C261-B261)/B261</f>
        <v>0.29977203647416417</v>
      </c>
      <c r="E261" s="9">
        <v>58.94</v>
      </c>
      <c r="F261" s="16">
        <f>(C261-E261)/E261</f>
        <v>0.16084153376314902</v>
      </c>
      <c r="G261" s="40"/>
      <c r="H261" s="16"/>
      <c r="I261" s="16"/>
      <c r="K261">
        <f t="shared" si="17"/>
        <v>0</v>
      </c>
      <c r="L261" s="16"/>
    </row>
    <row r="262" spans="1:12">
      <c r="A262" s="1"/>
      <c r="B262" s="7"/>
      <c r="C262" s="7"/>
      <c r="D262" s="16"/>
      <c r="E262" s="9"/>
      <c r="F262" s="16"/>
      <c r="G262" s="40"/>
      <c r="H262" s="16"/>
      <c r="I262" s="16"/>
      <c r="K262">
        <f t="shared" si="17"/>
        <v>0</v>
      </c>
      <c r="L262" s="16"/>
    </row>
    <row r="263" spans="1:12" ht="12.75" customHeight="1">
      <c r="A263" s="2" t="s">
        <v>3644</v>
      </c>
      <c r="B263" s="11" t="s">
        <v>3534</v>
      </c>
      <c r="C263" s="33" t="s">
        <v>3534</v>
      </c>
      <c r="D263" s="43"/>
      <c r="E263" s="44"/>
      <c r="F263" s="43"/>
      <c r="G263" s="23" t="s">
        <v>3984</v>
      </c>
      <c r="H263" s="43"/>
      <c r="I263" s="43">
        <f>AVERAGE(F264:F266)</f>
        <v>-3.5870864886408866E-3</v>
      </c>
      <c r="J263" s="8"/>
      <c r="K263">
        <f t="shared" si="17"/>
        <v>0</v>
      </c>
      <c r="L263" s="43"/>
    </row>
    <row r="264" spans="1:12" ht="12.75" customHeight="1">
      <c r="A264" s="1" t="s">
        <v>3645</v>
      </c>
      <c r="B264" s="7">
        <v>26</v>
      </c>
      <c r="C264" s="7">
        <v>25</v>
      </c>
      <c r="D264" s="16">
        <f>(C264-B264)/B264</f>
        <v>-3.8461538461538464E-2</v>
      </c>
      <c r="E264" s="9">
        <v>25.09</v>
      </c>
      <c r="F264" s="16">
        <f>(C264-E264)/E264</f>
        <v>-3.587086488640887E-3</v>
      </c>
      <c r="G264" s="40"/>
      <c r="H264" s="16"/>
      <c r="I264" s="16"/>
      <c r="K264">
        <f t="shared" si="17"/>
        <v>0</v>
      </c>
      <c r="L264" s="16"/>
    </row>
    <row r="265" spans="1:12" ht="12.75" customHeight="1">
      <c r="A265" s="1" t="s">
        <v>3646</v>
      </c>
      <c r="B265" s="7">
        <v>26</v>
      </c>
      <c r="C265" s="7">
        <v>25</v>
      </c>
      <c r="D265" s="16">
        <f>(C265-B265)/B265</f>
        <v>-3.8461538461538464E-2</v>
      </c>
      <c r="E265" s="9">
        <v>25.09</v>
      </c>
      <c r="F265" s="16">
        <f>(C265-E265)/E265</f>
        <v>-3.587086488640887E-3</v>
      </c>
      <c r="G265" s="40"/>
      <c r="H265" s="16"/>
      <c r="I265" s="16"/>
      <c r="K265">
        <f t="shared" si="17"/>
        <v>0</v>
      </c>
      <c r="L265" s="16"/>
    </row>
    <row r="266" spans="1:12" ht="12.75" customHeight="1">
      <c r="A266" s="1" t="s">
        <v>3647</v>
      </c>
      <c r="B266" s="7">
        <v>26</v>
      </c>
      <c r="C266" s="7">
        <v>25</v>
      </c>
      <c r="D266" s="16">
        <f>(C266-B266)/B266</f>
        <v>-3.8461538461538464E-2</v>
      </c>
      <c r="E266" s="9">
        <v>25.09</v>
      </c>
      <c r="F266" s="16">
        <f>(C266-E266)/E266</f>
        <v>-3.587086488640887E-3</v>
      </c>
      <c r="G266" s="40"/>
      <c r="H266" s="16"/>
      <c r="I266" s="16"/>
      <c r="K266">
        <f t="shared" si="17"/>
        <v>0</v>
      </c>
      <c r="L266" s="16"/>
    </row>
    <row r="267" spans="1:12">
      <c r="A267" s="1"/>
      <c r="B267" s="7"/>
      <c r="C267" s="7"/>
      <c r="D267" s="16"/>
      <c r="E267" s="9"/>
      <c r="F267" s="16"/>
      <c r="G267" s="40"/>
      <c r="H267" s="16"/>
      <c r="I267" s="16"/>
      <c r="K267">
        <f t="shared" si="17"/>
        <v>0</v>
      </c>
      <c r="L267" s="16"/>
    </row>
    <row r="268" spans="1:12">
      <c r="A268" s="1"/>
      <c r="B268" s="7"/>
      <c r="C268" s="7"/>
      <c r="D268" s="16"/>
      <c r="E268" s="9"/>
      <c r="F268" s="16"/>
      <c r="G268" s="40"/>
      <c r="H268" s="16"/>
      <c r="I268" s="16"/>
      <c r="K268">
        <f t="shared" si="17"/>
        <v>0</v>
      </c>
      <c r="L268" s="16"/>
    </row>
    <row r="269" spans="1:12">
      <c r="A269" s="1"/>
      <c r="D269" s="16"/>
      <c r="E269" s="9"/>
      <c r="F269" s="16"/>
      <c r="G269" s="40"/>
      <c r="H269" s="16"/>
      <c r="I269" s="16"/>
      <c r="K269">
        <f t="shared" si="17"/>
        <v>0</v>
      </c>
      <c r="L269" s="16"/>
    </row>
    <row r="270" spans="1:12">
      <c r="A270" s="2" t="s">
        <v>3966</v>
      </c>
      <c r="B270" s="7"/>
      <c r="C270" s="31"/>
      <c r="D270" s="43"/>
      <c r="E270" s="44"/>
      <c r="F270" s="43"/>
      <c r="G270" s="23" t="s">
        <v>3984</v>
      </c>
      <c r="H270" s="43"/>
      <c r="I270" s="43">
        <f>AVERAGE(F271)</f>
        <v>0.17274815003827515</v>
      </c>
      <c r="J270" s="8"/>
      <c r="K270">
        <f t="shared" si="17"/>
        <v>0</v>
      </c>
      <c r="L270" s="43"/>
    </row>
    <row r="271" spans="1:12" ht="12.75" customHeight="1">
      <c r="A271" s="1" t="s">
        <v>3650</v>
      </c>
      <c r="B271" s="7">
        <v>42.14</v>
      </c>
      <c r="C271" s="7">
        <v>45.96</v>
      </c>
      <c r="D271" s="16">
        <f>(C271-B271)/B271</f>
        <v>9.0650213573801625E-2</v>
      </c>
      <c r="E271" s="9">
        <v>39.19</v>
      </c>
      <c r="F271" s="16">
        <f>(C271-E271)/E271</f>
        <v>0.17274815003827515</v>
      </c>
      <c r="G271" s="40"/>
      <c r="H271" s="16"/>
      <c r="I271" s="16"/>
      <c r="J271">
        <v>23.76</v>
      </c>
      <c r="K271">
        <f t="shared" si="17"/>
        <v>33.264000000000003</v>
      </c>
      <c r="L271" s="16">
        <f>(C271-K271)/K271</f>
        <v>0.38167388167388155</v>
      </c>
    </row>
    <row r="272" spans="1:12">
      <c r="A272" s="1"/>
      <c r="B272" s="7"/>
      <c r="C272" s="7"/>
      <c r="D272" s="16"/>
      <c r="E272" s="9"/>
      <c r="F272" s="16"/>
      <c r="G272" s="40"/>
      <c r="H272" s="16"/>
      <c r="I272" s="16"/>
      <c r="K272">
        <f t="shared" si="17"/>
        <v>0</v>
      </c>
      <c r="L272" s="16"/>
    </row>
    <row r="273" spans="1:12">
      <c r="A273" s="2" t="s">
        <v>3651</v>
      </c>
      <c r="B273" s="7"/>
      <c r="C273" s="31"/>
      <c r="D273" s="43"/>
      <c r="E273" s="44"/>
      <c r="F273" s="43"/>
      <c r="G273" s="23" t="s">
        <v>3983</v>
      </c>
      <c r="H273" s="43">
        <f>AVERAGE(F274)</f>
        <v>0.30133928571428559</v>
      </c>
      <c r="I273" s="43"/>
      <c r="J273" s="8"/>
      <c r="K273">
        <f t="shared" si="17"/>
        <v>0</v>
      </c>
      <c r="L273" s="43"/>
    </row>
    <row r="274" spans="1:12" ht="12.75" customHeight="1">
      <c r="A274" s="1" t="s">
        <v>3652</v>
      </c>
      <c r="B274" s="7">
        <v>46.23</v>
      </c>
      <c r="C274" s="7">
        <v>46.64</v>
      </c>
      <c r="D274" s="16">
        <f>(C274-B274)/B274</f>
        <v>8.8686999783691052E-3</v>
      </c>
      <c r="E274" s="9">
        <v>35.840000000000003</v>
      </c>
      <c r="F274" s="16">
        <f>(C274-E274)/E274</f>
        <v>0.30133928571428559</v>
      </c>
      <c r="G274" s="40"/>
      <c r="H274" s="16"/>
      <c r="I274" s="16"/>
      <c r="K274">
        <f t="shared" si="17"/>
        <v>0</v>
      </c>
      <c r="L274" s="16"/>
    </row>
    <row r="275" spans="1:12" ht="12.75" customHeight="1">
      <c r="A275" s="5" t="s">
        <v>3967</v>
      </c>
      <c r="B275" s="11"/>
      <c r="C275" s="11"/>
      <c r="D275" s="16"/>
      <c r="E275" s="9"/>
      <c r="F275" s="16"/>
      <c r="G275" s="40"/>
      <c r="H275" s="16"/>
      <c r="I275" s="16"/>
      <c r="K275">
        <f t="shared" si="17"/>
        <v>0</v>
      </c>
      <c r="L275" s="16"/>
    </row>
    <row r="276" spans="1:12" ht="12.75" customHeight="1">
      <c r="A276" s="2" t="s">
        <v>3883</v>
      </c>
      <c r="B276" s="12" t="s">
        <v>3510</v>
      </c>
      <c r="C276" s="12" t="s">
        <v>3510</v>
      </c>
      <c r="D276" s="43"/>
      <c r="E276" s="44"/>
      <c r="F276" s="43"/>
      <c r="G276" s="23"/>
      <c r="H276" s="43"/>
      <c r="I276" s="43"/>
      <c r="J276" s="8"/>
      <c r="K276">
        <f t="shared" si="17"/>
        <v>0</v>
      </c>
      <c r="L276" s="43"/>
    </row>
    <row r="277" spans="1:12" ht="12.75" customHeight="1">
      <c r="A277" s="1" t="s">
        <v>3968</v>
      </c>
      <c r="B277" s="7">
        <v>32.479999999999997</v>
      </c>
      <c r="C277" s="7">
        <v>34.630000000000003</v>
      </c>
      <c r="D277" s="16">
        <f>(C277-B277)/B277</f>
        <v>6.6194581280788353E-2</v>
      </c>
      <c r="E277" s="9">
        <v>36.35</v>
      </c>
      <c r="F277" s="16">
        <f>(C277-E277)/E277</f>
        <v>-4.7317744154057741E-2</v>
      </c>
      <c r="G277" s="23" t="s">
        <v>3983</v>
      </c>
      <c r="H277" s="43">
        <f>AVERAGE(F277)</f>
        <v>-4.7317744154057741E-2</v>
      </c>
      <c r="I277" s="16"/>
      <c r="K277">
        <f t="shared" si="17"/>
        <v>0</v>
      </c>
      <c r="L277" s="16"/>
    </row>
    <row r="278" spans="1:12" ht="12.75" customHeight="1">
      <c r="A278" s="1" t="s">
        <v>3699</v>
      </c>
      <c r="B278" s="7">
        <v>46.04</v>
      </c>
      <c r="C278" s="7">
        <v>49.29</v>
      </c>
      <c r="D278" s="16">
        <f>(C278-B278)/B278</f>
        <v>7.0590790616854915E-2</v>
      </c>
      <c r="E278" s="9">
        <v>49.17</v>
      </c>
      <c r="F278" s="16">
        <f>(C278-E278)/E278</f>
        <v>2.4405125076265495E-3</v>
      </c>
      <c r="G278" s="23" t="s">
        <v>3983</v>
      </c>
      <c r="H278" s="43">
        <f>AVERAGE(F278)</f>
        <v>2.4405125076265495E-3</v>
      </c>
      <c r="I278" s="16"/>
      <c r="K278">
        <f t="shared" si="17"/>
        <v>0</v>
      </c>
      <c r="L278" s="16"/>
    </row>
    <row r="279" spans="1:12">
      <c r="A279" s="1"/>
      <c r="B279" s="7"/>
      <c r="C279" s="7"/>
      <c r="D279" s="16"/>
      <c r="E279" s="9"/>
      <c r="F279" s="16"/>
      <c r="G279" s="40"/>
      <c r="H279" s="16"/>
      <c r="I279" s="16"/>
      <c r="K279">
        <f t="shared" ref="K279:K313" si="20">J279*1.4</f>
        <v>0</v>
      </c>
      <c r="L279" s="16"/>
    </row>
    <row r="280" spans="1:12" ht="25.5" customHeight="1">
      <c r="A280" s="2" t="s">
        <v>3662</v>
      </c>
      <c r="B280" s="12" t="s">
        <v>3887</v>
      </c>
      <c r="C280" s="12" t="s">
        <v>3887</v>
      </c>
      <c r="D280" s="43"/>
      <c r="E280" s="44"/>
      <c r="F280" s="43"/>
      <c r="G280" s="23"/>
      <c r="H280" s="43"/>
      <c r="I280" s="43"/>
      <c r="J280" s="8"/>
      <c r="K280">
        <f t="shared" si="20"/>
        <v>0</v>
      </c>
      <c r="L280" s="43"/>
    </row>
    <row r="281" spans="1:12" ht="12.75" customHeight="1">
      <c r="A281" s="1" t="s">
        <v>3663</v>
      </c>
      <c r="B281" s="7">
        <v>42.94</v>
      </c>
      <c r="C281" s="7">
        <v>42.94</v>
      </c>
      <c r="D281" s="16">
        <f>(C281-B281)/B281</f>
        <v>0</v>
      </c>
      <c r="E281" s="9"/>
      <c r="F281" s="16"/>
      <c r="G281" s="40"/>
      <c r="H281" s="16"/>
      <c r="I281" s="16"/>
      <c r="K281">
        <f t="shared" si="20"/>
        <v>0</v>
      </c>
      <c r="L281" s="16"/>
    </row>
    <row r="282" spans="1:12">
      <c r="A282" s="1"/>
      <c r="B282" s="7"/>
      <c r="C282" s="7"/>
      <c r="D282" s="16"/>
      <c r="E282" s="9"/>
      <c r="F282" s="16"/>
      <c r="G282" s="40"/>
      <c r="H282" s="16"/>
      <c r="I282" s="16"/>
      <c r="K282">
        <f t="shared" si="20"/>
        <v>0</v>
      </c>
      <c r="L282" s="16"/>
    </row>
    <row r="283" spans="1:12" ht="38.25">
      <c r="A283" s="2" t="s">
        <v>3664</v>
      </c>
      <c r="B283" s="12" t="s">
        <v>3510</v>
      </c>
      <c r="C283" s="31" t="s">
        <v>3483</v>
      </c>
      <c r="D283" s="43"/>
      <c r="E283" s="44"/>
      <c r="F283" s="43"/>
      <c r="G283" s="23" t="s">
        <v>3984</v>
      </c>
      <c r="H283" s="43"/>
      <c r="I283" s="43">
        <f>AVERAGE(F285:F291)</f>
        <v>3.4311287916459536E-2</v>
      </c>
      <c r="J283" s="8"/>
      <c r="K283">
        <f t="shared" si="20"/>
        <v>0</v>
      </c>
      <c r="L283" s="43"/>
    </row>
    <row r="284" spans="1:12">
      <c r="A284" s="3" t="s">
        <v>3569</v>
      </c>
      <c r="B284" s="7"/>
      <c r="C284" s="7"/>
      <c r="D284" s="16"/>
      <c r="E284" s="9"/>
      <c r="F284" s="16"/>
      <c r="G284" s="40"/>
      <c r="H284" s="16"/>
      <c r="I284" s="16"/>
      <c r="K284">
        <f t="shared" si="20"/>
        <v>0</v>
      </c>
      <c r="L284" s="16"/>
    </row>
    <row r="285" spans="1:12" ht="12.75" customHeight="1">
      <c r="A285" s="1" t="s">
        <v>3573</v>
      </c>
      <c r="B285" s="7">
        <v>46.13</v>
      </c>
      <c r="C285" s="7">
        <v>20.8</v>
      </c>
      <c r="D285" s="16">
        <f t="shared" ref="D285:D291" si="21">(C285-B285)/B285</f>
        <v>-0.54910036852373723</v>
      </c>
      <c r="E285" s="9">
        <v>20.11</v>
      </c>
      <c r="F285" s="16">
        <f t="shared" ref="F285:F291" si="22">(C285-E285)/E285</f>
        <v>3.4311287916459536E-2</v>
      </c>
      <c r="G285" s="40"/>
      <c r="H285" s="16"/>
      <c r="I285" s="16"/>
      <c r="J285">
        <v>22.01</v>
      </c>
      <c r="K285">
        <f t="shared" si="20"/>
        <v>30.814</v>
      </c>
      <c r="L285" s="16">
        <f>(C285-K285)/K285</f>
        <v>-0.32498215097033811</v>
      </c>
    </row>
    <row r="286" spans="1:12" ht="12.75" customHeight="1">
      <c r="A286" s="1" t="s">
        <v>3575</v>
      </c>
      <c r="B286" s="7">
        <v>46.23</v>
      </c>
      <c r="C286" s="7">
        <v>20.8</v>
      </c>
      <c r="D286" s="16">
        <f t="shared" si="21"/>
        <v>-0.55007570841444942</v>
      </c>
      <c r="E286" s="9">
        <v>20.11</v>
      </c>
      <c r="F286" s="16">
        <f t="shared" si="22"/>
        <v>3.4311287916459536E-2</v>
      </c>
      <c r="G286" s="40"/>
      <c r="H286" s="16"/>
      <c r="I286" s="16"/>
      <c r="J286">
        <v>22.01</v>
      </c>
      <c r="K286">
        <f t="shared" si="20"/>
        <v>30.814</v>
      </c>
      <c r="L286" s="16">
        <f t="shared" ref="L286:L291" si="23">(C286-K286)/K286</f>
        <v>-0.32498215097033811</v>
      </c>
    </row>
    <row r="287" spans="1:12" ht="12.75" customHeight="1">
      <c r="A287" s="1" t="s">
        <v>3576</v>
      </c>
      <c r="B287" s="7">
        <v>46.44</v>
      </c>
      <c r="C287" s="7">
        <v>20.8</v>
      </c>
      <c r="D287" s="16">
        <f t="shared" si="21"/>
        <v>-0.55211024978466838</v>
      </c>
      <c r="E287" s="9">
        <v>20.11</v>
      </c>
      <c r="F287" s="16">
        <f t="shared" si="22"/>
        <v>3.4311287916459536E-2</v>
      </c>
      <c r="G287" s="40"/>
      <c r="H287" s="16"/>
      <c r="I287" s="16"/>
      <c r="J287">
        <v>22.01</v>
      </c>
      <c r="K287">
        <f t="shared" si="20"/>
        <v>30.814</v>
      </c>
      <c r="L287" s="16">
        <f t="shared" si="23"/>
        <v>-0.32498215097033811</v>
      </c>
    </row>
    <row r="288" spans="1:12" ht="12.75" customHeight="1">
      <c r="A288" s="1" t="s">
        <v>3577</v>
      </c>
      <c r="B288" s="7">
        <v>46.62</v>
      </c>
      <c r="C288" s="7">
        <v>20.8</v>
      </c>
      <c r="D288" s="16">
        <f t="shared" si="21"/>
        <v>-0.55383955383955374</v>
      </c>
      <c r="E288" s="9">
        <v>20.11</v>
      </c>
      <c r="F288" s="16">
        <f t="shared" si="22"/>
        <v>3.4311287916459536E-2</v>
      </c>
      <c r="G288" s="40"/>
      <c r="H288" s="16"/>
      <c r="I288" s="16"/>
      <c r="J288">
        <v>22.01</v>
      </c>
      <c r="K288">
        <f t="shared" si="20"/>
        <v>30.814</v>
      </c>
      <c r="L288" s="16">
        <f t="shared" si="23"/>
        <v>-0.32498215097033811</v>
      </c>
    </row>
    <row r="289" spans="1:12" ht="12.75" customHeight="1">
      <c r="A289" s="1" t="s">
        <v>3579</v>
      </c>
      <c r="B289" s="7">
        <v>46.82</v>
      </c>
      <c r="C289" s="7">
        <v>20.8</v>
      </c>
      <c r="D289" s="16">
        <f t="shared" si="21"/>
        <v>-0.55574540794532246</v>
      </c>
      <c r="E289" s="9">
        <v>20.11</v>
      </c>
      <c r="F289" s="16">
        <f t="shared" si="22"/>
        <v>3.4311287916459536E-2</v>
      </c>
      <c r="G289" s="40"/>
      <c r="H289" s="16"/>
      <c r="I289" s="16"/>
      <c r="J289">
        <v>22.01</v>
      </c>
      <c r="K289">
        <f t="shared" si="20"/>
        <v>30.814</v>
      </c>
      <c r="L289" s="16">
        <f t="shared" si="23"/>
        <v>-0.32498215097033811</v>
      </c>
    </row>
    <row r="290" spans="1:12" ht="12.75" customHeight="1">
      <c r="A290" s="1" t="s">
        <v>3580</v>
      </c>
      <c r="B290" s="7">
        <v>47.12</v>
      </c>
      <c r="C290" s="7">
        <v>20.8</v>
      </c>
      <c r="D290" s="16">
        <f t="shared" si="21"/>
        <v>-0.55857385398981318</v>
      </c>
      <c r="E290" s="9">
        <v>20.11</v>
      </c>
      <c r="F290" s="16">
        <f t="shared" si="22"/>
        <v>3.4311287916459536E-2</v>
      </c>
      <c r="G290" s="40"/>
      <c r="H290" s="16"/>
      <c r="I290" s="16"/>
      <c r="J290">
        <v>22.01</v>
      </c>
      <c r="K290">
        <f t="shared" si="20"/>
        <v>30.814</v>
      </c>
      <c r="L290" s="16">
        <f t="shared" si="23"/>
        <v>-0.32498215097033811</v>
      </c>
    </row>
    <row r="291" spans="1:12" ht="12.75" customHeight="1">
      <c r="A291" s="1" t="s">
        <v>3888</v>
      </c>
      <c r="B291" s="7">
        <v>48.12</v>
      </c>
      <c r="C291" s="7">
        <v>20.8</v>
      </c>
      <c r="D291" s="16">
        <f t="shared" si="21"/>
        <v>-0.56774729842061511</v>
      </c>
      <c r="E291" s="9">
        <v>20.11</v>
      </c>
      <c r="F291" s="16">
        <f t="shared" si="22"/>
        <v>3.4311287916459536E-2</v>
      </c>
      <c r="G291" s="40"/>
      <c r="H291" s="16"/>
      <c r="I291" s="16"/>
      <c r="J291">
        <v>22.01</v>
      </c>
      <c r="K291">
        <f t="shared" si="20"/>
        <v>30.814</v>
      </c>
      <c r="L291" s="16">
        <f t="shared" si="23"/>
        <v>-0.32498215097033811</v>
      </c>
    </row>
    <row r="292" spans="1:12">
      <c r="A292" s="1"/>
      <c r="B292" s="7"/>
      <c r="C292" s="7"/>
      <c r="D292" s="16"/>
      <c r="E292" s="9"/>
      <c r="F292" s="16"/>
      <c r="G292" s="40"/>
      <c r="H292" s="16"/>
      <c r="I292" s="16"/>
      <c r="K292">
        <f t="shared" si="20"/>
        <v>0</v>
      </c>
      <c r="L292" s="16"/>
    </row>
    <row r="293" spans="1:12">
      <c r="A293" s="1"/>
      <c r="B293" s="7"/>
      <c r="C293" s="7"/>
      <c r="D293" s="16"/>
      <c r="E293" s="9"/>
      <c r="F293" s="16"/>
      <c r="G293" s="40"/>
      <c r="H293" s="16"/>
      <c r="I293" s="16"/>
      <c r="K293">
        <f t="shared" si="20"/>
        <v>0</v>
      </c>
      <c r="L293" s="16"/>
    </row>
    <row r="294" spans="1:12" ht="38.25">
      <c r="A294" s="2" t="s">
        <v>3666</v>
      </c>
      <c r="B294" s="7"/>
      <c r="C294" s="31" t="s">
        <v>3492</v>
      </c>
      <c r="D294" s="43"/>
      <c r="E294" s="44"/>
      <c r="F294" s="43"/>
      <c r="G294" s="23" t="s">
        <v>3984</v>
      </c>
      <c r="H294" s="43"/>
      <c r="I294" s="43">
        <f>AVERAGE(F295)</f>
        <v>0</v>
      </c>
      <c r="J294" s="8"/>
      <c r="K294">
        <f t="shared" si="20"/>
        <v>0</v>
      </c>
      <c r="L294" s="43"/>
    </row>
    <row r="295" spans="1:12" ht="12.75" customHeight="1">
      <c r="A295" s="1" t="s">
        <v>3667</v>
      </c>
      <c r="B295" s="7">
        <v>31.49</v>
      </c>
      <c r="C295" s="7">
        <v>19.420000000000002</v>
      </c>
      <c r="D295" s="16">
        <f>(C295-B295)/B295</f>
        <v>-0.38329628453477288</v>
      </c>
      <c r="E295" s="9">
        <v>19.420000000000002</v>
      </c>
      <c r="F295" s="16">
        <f>(C295-E295)/E295</f>
        <v>0</v>
      </c>
      <c r="G295" s="40"/>
      <c r="H295" s="16"/>
      <c r="I295" s="16"/>
      <c r="K295">
        <f t="shared" si="20"/>
        <v>0</v>
      </c>
      <c r="L295" s="16"/>
    </row>
    <row r="296" spans="1:12">
      <c r="A296" s="1"/>
      <c r="B296" s="7"/>
      <c r="C296" s="7"/>
      <c r="D296" s="16"/>
      <c r="E296" s="9"/>
      <c r="F296" s="16"/>
      <c r="G296" s="40"/>
      <c r="H296" s="16"/>
      <c r="I296" s="16"/>
      <c r="K296">
        <f t="shared" si="20"/>
        <v>0</v>
      </c>
      <c r="L296" s="16"/>
    </row>
    <row r="297" spans="1:12" ht="12.75" customHeight="1">
      <c r="A297" s="2" t="s">
        <v>3891</v>
      </c>
      <c r="B297" s="7"/>
      <c r="C297" s="12" t="s">
        <v>3979</v>
      </c>
      <c r="D297" s="54"/>
      <c r="E297" s="44"/>
      <c r="F297" s="43"/>
      <c r="G297" s="23" t="s">
        <v>3983</v>
      </c>
      <c r="H297" s="43">
        <f>AVERAGE(F298:F307)</f>
        <v>2.9802782179961244E-2</v>
      </c>
      <c r="I297" s="43"/>
      <c r="J297" s="8"/>
      <c r="K297">
        <f t="shared" si="20"/>
        <v>0</v>
      </c>
      <c r="L297" s="43"/>
    </row>
    <row r="298" spans="1:12" ht="12.75" customHeight="1">
      <c r="A298" s="1" t="s">
        <v>3892</v>
      </c>
      <c r="B298" s="7">
        <v>46.1</v>
      </c>
      <c r="C298" s="7">
        <v>56.91</v>
      </c>
      <c r="D298" s="16">
        <f>(C298-B298)/B298</f>
        <v>0.23449023861171356</v>
      </c>
      <c r="E298" s="9">
        <v>56.79</v>
      </c>
      <c r="F298" s="16">
        <f>(C298-E298)/E298</f>
        <v>2.1130480718435894E-3</v>
      </c>
      <c r="G298" s="40"/>
      <c r="H298" s="16"/>
      <c r="I298" s="16"/>
      <c r="K298">
        <f t="shared" si="20"/>
        <v>0</v>
      </c>
      <c r="L298" s="16"/>
    </row>
    <row r="299" spans="1:12">
      <c r="A299" s="1"/>
      <c r="B299" s="7"/>
      <c r="C299" s="7"/>
      <c r="D299" s="16"/>
      <c r="E299" s="9"/>
      <c r="F299" s="16"/>
      <c r="G299" s="40"/>
      <c r="H299" s="16"/>
      <c r="I299" s="16"/>
      <c r="K299">
        <f t="shared" si="20"/>
        <v>0</v>
      </c>
      <c r="L299" s="16"/>
    </row>
    <row r="300" spans="1:12" ht="12.75" customHeight="1">
      <c r="A300" s="2" t="s">
        <v>3893</v>
      </c>
      <c r="B300" s="7"/>
      <c r="C300" s="12" t="s">
        <v>3979</v>
      </c>
      <c r="D300" s="26"/>
      <c r="E300" s="9"/>
      <c r="F300" s="16"/>
      <c r="G300" s="40"/>
      <c r="H300" s="16"/>
      <c r="I300" s="16"/>
      <c r="K300">
        <f t="shared" si="20"/>
        <v>0</v>
      </c>
      <c r="L300" s="16"/>
    </row>
    <row r="301" spans="1:12" ht="12.75" customHeight="1">
      <c r="A301" s="1" t="s">
        <v>3894</v>
      </c>
      <c r="B301" s="7">
        <v>46.1</v>
      </c>
      <c r="C301" s="7">
        <v>58.4</v>
      </c>
      <c r="D301" s="16">
        <f>(C301-B301)/B301</f>
        <v>0.26681127982646413</v>
      </c>
      <c r="E301" s="9">
        <v>56.79</v>
      </c>
      <c r="F301" s="16">
        <f>(C301-E301)/E301</f>
        <v>2.8350061630568753E-2</v>
      </c>
      <c r="G301" s="40"/>
      <c r="H301" s="16"/>
      <c r="I301" s="16"/>
      <c r="K301">
        <f t="shared" si="20"/>
        <v>0</v>
      </c>
      <c r="L301" s="16"/>
    </row>
    <row r="302" spans="1:12">
      <c r="A302" s="1"/>
      <c r="B302" s="7"/>
      <c r="C302" s="7"/>
      <c r="D302" s="16"/>
      <c r="E302" s="9"/>
      <c r="F302" s="16"/>
      <c r="G302" s="40"/>
      <c r="H302" s="16"/>
      <c r="I302" s="16"/>
      <c r="K302">
        <f t="shared" si="20"/>
        <v>0</v>
      </c>
      <c r="L302" s="16"/>
    </row>
    <row r="303" spans="1:12" ht="12.75" customHeight="1">
      <c r="A303" s="2" t="s">
        <v>3895</v>
      </c>
      <c r="B303" s="7"/>
      <c r="C303" s="12" t="s">
        <v>3979</v>
      </c>
      <c r="D303" s="26"/>
      <c r="E303" s="9"/>
      <c r="F303" s="16"/>
      <c r="G303" s="40"/>
      <c r="H303" s="16"/>
      <c r="I303" s="16"/>
      <c r="K303">
        <f t="shared" si="20"/>
        <v>0</v>
      </c>
      <c r="L303" s="16"/>
    </row>
    <row r="304" spans="1:12" ht="12.75" customHeight="1">
      <c r="A304" s="1" t="s">
        <v>3896</v>
      </c>
      <c r="B304" s="7">
        <v>46.1</v>
      </c>
      <c r="C304" s="7">
        <v>59.5</v>
      </c>
      <c r="D304" s="16">
        <f>(C304-B304)/B304</f>
        <v>0.29067245119305851</v>
      </c>
      <c r="E304" s="9">
        <v>56.79</v>
      </c>
      <c r="F304" s="16">
        <f>(C304-E304)/E304</f>
        <v>4.7719668955802097E-2</v>
      </c>
      <c r="G304" s="40"/>
      <c r="H304" s="16"/>
      <c r="I304" s="16"/>
      <c r="K304">
        <f t="shared" si="20"/>
        <v>0</v>
      </c>
      <c r="L304" s="16"/>
    </row>
    <row r="305" spans="1:12">
      <c r="A305" s="1"/>
      <c r="B305" s="7"/>
      <c r="C305" s="7"/>
      <c r="D305" s="16"/>
      <c r="E305" s="9"/>
      <c r="F305" s="16"/>
      <c r="G305" s="40"/>
      <c r="H305" s="16"/>
      <c r="I305" s="16"/>
      <c r="K305">
        <f t="shared" si="20"/>
        <v>0</v>
      </c>
      <c r="L305" s="16"/>
    </row>
    <row r="306" spans="1:12" ht="12.75" customHeight="1">
      <c r="A306" s="2" t="s">
        <v>3897</v>
      </c>
      <c r="B306" s="7"/>
      <c r="C306" s="12" t="s">
        <v>3979</v>
      </c>
      <c r="D306" s="26"/>
      <c r="E306" s="9"/>
      <c r="F306" s="16"/>
      <c r="G306" s="40"/>
      <c r="H306" s="16"/>
      <c r="I306" s="16"/>
      <c r="K306">
        <f t="shared" si="20"/>
        <v>0</v>
      </c>
      <c r="L306" s="16"/>
    </row>
    <row r="307" spans="1:12" ht="12.75" customHeight="1">
      <c r="A307" s="1" t="s">
        <v>3898</v>
      </c>
      <c r="B307" s="7">
        <v>46.1</v>
      </c>
      <c r="C307" s="7">
        <v>59.12</v>
      </c>
      <c r="D307" s="16">
        <f>(C307-B307)/B307</f>
        <v>0.28242950108459858</v>
      </c>
      <c r="E307" s="9">
        <v>56.79</v>
      </c>
      <c r="F307" s="16">
        <f>(C307-E307)/E307</f>
        <v>4.1028350061630539E-2</v>
      </c>
      <c r="G307" s="40"/>
      <c r="H307" s="16"/>
      <c r="I307" s="16"/>
      <c r="K307">
        <f t="shared" si="20"/>
        <v>0</v>
      </c>
      <c r="L307" s="16"/>
    </row>
    <row r="308" spans="1:12">
      <c r="A308" s="1"/>
      <c r="B308" s="7"/>
      <c r="C308" s="7"/>
      <c r="D308" s="16"/>
      <c r="E308" s="9"/>
      <c r="F308" s="16"/>
      <c r="G308" s="40"/>
      <c r="H308" s="16"/>
      <c r="I308" s="16"/>
      <c r="K308">
        <f t="shared" si="20"/>
        <v>0</v>
      </c>
      <c r="L308" s="16"/>
    </row>
    <row r="309" spans="1:12" ht="12.75" customHeight="1">
      <c r="A309" s="2" t="s">
        <v>3899</v>
      </c>
      <c r="B309" s="7"/>
      <c r="C309" s="12" t="s">
        <v>3979</v>
      </c>
      <c r="D309" s="54"/>
      <c r="E309" s="44"/>
      <c r="F309" s="43"/>
      <c r="G309" s="23" t="s">
        <v>3983</v>
      </c>
      <c r="H309" s="43">
        <f>AVERAGE(F310:F313)</f>
        <v>-2.9934847684451788E-3</v>
      </c>
      <c r="I309" s="43"/>
      <c r="J309" s="8"/>
      <c r="K309">
        <f t="shared" si="20"/>
        <v>0</v>
      </c>
      <c r="L309" s="43"/>
    </row>
    <row r="310" spans="1:12" ht="12.75" customHeight="1">
      <c r="A310" s="1" t="s">
        <v>3900</v>
      </c>
      <c r="B310" s="7">
        <v>44.14</v>
      </c>
      <c r="C310" s="7">
        <v>56.62</v>
      </c>
      <c r="D310" s="16">
        <f>(C310-B310)/B310</f>
        <v>0.28273674671499766</v>
      </c>
      <c r="E310" s="9">
        <v>56.79</v>
      </c>
      <c r="F310" s="16">
        <f>(C310-E310)/E310</f>
        <v>-2.9934847684451788E-3</v>
      </c>
      <c r="G310" s="40"/>
      <c r="H310" s="16"/>
      <c r="I310" s="16"/>
      <c r="K310">
        <f t="shared" si="20"/>
        <v>0</v>
      </c>
      <c r="L310" s="16"/>
    </row>
    <row r="311" spans="1:12">
      <c r="A311" s="1"/>
      <c r="B311" s="7"/>
      <c r="C311" s="7"/>
      <c r="D311" s="16"/>
      <c r="E311" s="9"/>
      <c r="F311" s="16"/>
      <c r="G311" s="40"/>
      <c r="H311" s="16"/>
      <c r="I311" s="16"/>
      <c r="K311">
        <f t="shared" si="20"/>
        <v>0</v>
      </c>
      <c r="L311" s="16"/>
    </row>
    <row r="312" spans="1:12" ht="25.5" customHeight="1">
      <c r="A312" s="2" t="s">
        <v>3901</v>
      </c>
      <c r="B312" s="7"/>
      <c r="C312" s="12" t="s">
        <v>3979</v>
      </c>
      <c r="D312" s="26"/>
      <c r="E312" s="9"/>
      <c r="F312" s="16"/>
      <c r="G312" s="40"/>
      <c r="H312" s="16"/>
      <c r="I312" s="16"/>
      <c r="K312">
        <f t="shared" si="20"/>
        <v>0</v>
      </c>
      <c r="L312" s="16"/>
    </row>
    <row r="313" spans="1:12" ht="12.75" customHeight="1">
      <c r="A313" s="1" t="s">
        <v>3902</v>
      </c>
      <c r="B313" s="7">
        <v>44.14</v>
      </c>
      <c r="C313" s="7">
        <v>56.62</v>
      </c>
      <c r="D313" s="16">
        <f>(C313-B313)/B313</f>
        <v>0.28273674671499766</v>
      </c>
      <c r="E313" s="9">
        <v>56.79</v>
      </c>
      <c r="F313" s="16">
        <f>(C313-E313)/E313</f>
        <v>-2.9934847684451788E-3</v>
      </c>
      <c r="G313" s="40"/>
      <c r="H313" s="16"/>
      <c r="I313" s="16"/>
      <c r="K313">
        <f t="shared" si="20"/>
        <v>0</v>
      </c>
      <c r="L313" s="16"/>
    </row>
    <row r="314" spans="1:12">
      <c r="G314" s="40"/>
    </row>
    <row r="315" spans="1:12">
      <c r="A315" s="8" t="s">
        <v>3988</v>
      </c>
      <c r="B315" s="7"/>
      <c r="D315" s="16"/>
      <c r="E315" s="40"/>
      <c r="G315" s="40"/>
    </row>
    <row r="316" spans="1:12">
      <c r="A316" s="1" t="s">
        <v>3986</v>
      </c>
      <c r="B316" s="7"/>
      <c r="D316" s="16"/>
      <c r="G316" s="40">
        <f>COUNTIF(G4:G313,"Y")</f>
        <v>28</v>
      </c>
    </row>
    <row r="317" spans="1:12">
      <c r="A317" s="1" t="s">
        <v>3987</v>
      </c>
      <c r="B317" s="7"/>
      <c r="D317" s="16"/>
      <c r="G317" s="41">
        <f>COUNTIF(G4:G313,"N")</f>
        <v>10</v>
      </c>
    </row>
    <row r="318" spans="1:12">
      <c r="A318" s="8" t="s">
        <v>3985</v>
      </c>
      <c r="B318"/>
      <c r="D318" s="16"/>
      <c r="G318" s="23">
        <f>SUM(G316:G317)</f>
        <v>38</v>
      </c>
    </row>
  </sheetData>
  <phoneticPr fontId="2" type="noConversion"/>
  <hyperlinks>
    <hyperlink ref="A1" r:id="rId1" display="http://www.laborcommissioner.com/10rates/nye.html"/>
    <hyperlink ref="B4" location="sheetzone" display="sheetzone"/>
    <hyperlink ref="B21" location="carpzone" display="carpzone"/>
    <hyperlink ref="B32" location="ELEC COMM TECH SOUTH" display="ELEC COMM TECH SOUTH"/>
    <hyperlink ref="B45" location="electwirezone" display="electwirezone"/>
    <hyperlink ref="B58" location="labzone" display="labzone"/>
    <hyperlink ref="B75" location="labzone" display="labzone"/>
    <hyperlink ref="B80" r:id="rId2" display="http://www.laborcommissioner.com/10rates/2010 Amendments/2010Amendment1.htm"/>
    <hyperlink ref="A86" location="LABOR GROUPS" display="LABOR GROUPS"/>
    <hyperlink ref="B86" location="labzone" display="labzone"/>
    <hyperlink ref="B102" r:id="rId3" display="http://www.laborcommissioner.com/10rates/2010 Amendments/2010Amendment2.htm"/>
    <hyperlink ref="B107" location="millzone" display="millzone"/>
    <hyperlink ref="A116" location="op eng groups" display="op eng groups"/>
    <hyperlink ref="B116" location="opengzone" display="opengzone"/>
    <hyperlink ref="A147" location="op eng cranes groups" display="op eng cranes groups"/>
    <hyperlink ref="B147" location="opengzone" display="opengzone"/>
    <hyperlink ref="A221" location="op eng tunnel groups" display="op eng tunnel groups"/>
    <hyperlink ref="B221" location="opengzone" display="opengzone"/>
    <hyperlink ref="B240" location="plastzone" display="plastzone"/>
    <hyperlink ref="B258" location="SHEET ZONE 07" display="SHEET ZONE 07"/>
    <hyperlink ref="B276" location="Tile Zone" display="Tile Zone"/>
    <hyperlink ref="B280" location="labzone" display="labzone"/>
    <hyperlink ref="B283" location="Truck Zone" display="Truck Zone"/>
    <hyperlink ref="A284" location="Truck Driver 08" display="Truck Driver 08"/>
    <hyperlink ref="C21" location="carpzone" display="carpzone"/>
    <hyperlink ref="C58" location="labzone" display="labzone"/>
    <hyperlink ref="C68" location="labzone" display="labzone"/>
    <hyperlink ref="B71" location="labzone" display="labzone"/>
    <hyperlink ref="C86" location="labzone" display="labzone"/>
    <hyperlink ref="C116" location="opengzone" display="opengzone"/>
    <hyperlink ref="C147" location="opengzone" display="opengzone"/>
    <hyperlink ref="C221" location="opengzone" display="opengzone"/>
    <hyperlink ref="C258" location="SHEET ZONE 07" display="SHEET ZONE 07"/>
    <hyperlink ref="C276" location="Tile Zone" display="Tile Zone"/>
    <hyperlink ref="C280" location="labzone" display="labzone"/>
    <hyperlink ref="C297" location="opengzone" display="opengzone"/>
    <hyperlink ref="C300" location="opengzone" display="opengzone"/>
    <hyperlink ref="C303" location="opengzone" display="opengzone"/>
    <hyperlink ref="C306" location="opengzone" display="opengzone"/>
    <hyperlink ref="C309" location="opengzone" display="opengzone"/>
    <hyperlink ref="C312" location="opengzone" display="openg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4"/>
  <sheetViews>
    <sheetView workbookViewId="0">
      <selection activeCell="M1" sqref="M1:M1048576"/>
    </sheetView>
  </sheetViews>
  <sheetFormatPr defaultRowHeight="12.75"/>
  <cols>
    <col min="1" max="1" width="36.7109375" customWidth="1"/>
    <col min="2" max="2" width="9.140625" style="9"/>
    <col min="3" max="3" width="9.7109375" style="9" customWidth="1"/>
    <col min="4" max="4" width="12.5703125" customWidth="1"/>
    <col min="6" max="6" width="18" customWidth="1"/>
    <col min="7" max="7" width="7.85546875" customWidth="1"/>
    <col min="8" max="8" width="10" customWidth="1"/>
    <col min="9" max="9" width="10.42578125" customWidth="1"/>
    <col min="11" max="11" width="13.140625" customWidth="1"/>
    <col min="12" max="12" width="10" customWidth="1"/>
  </cols>
  <sheetData>
    <row r="1" spans="1:12" ht="51">
      <c r="A1" s="48" t="s">
        <v>4009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0"/>
      <c r="C2" s="20"/>
      <c r="D2" s="21">
        <f>AVERAGE(D4:D288)</f>
        <v>2.5077001286280584E-2</v>
      </c>
      <c r="F2" s="21">
        <f>AVERAGE(F4:F288)</f>
        <v>4.1421435708127979E-2</v>
      </c>
      <c r="H2" s="21">
        <f>AVERAGE(H4:H288)</f>
        <v>5.2914304116055626E-2</v>
      </c>
      <c r="I2" s="21">
        <f>AVERAGE(I4:I288)</f>
        <v>1.8194343293164144E-2</v>
      </c>
    </row>
    <row r="3" spans="1:12">
      <c r="A3" s="61"/>
      <c r="B3" s="59"/>
      <c r="C3" s="59"/>
      <c r="D3" s="60"/>
    </row>
    <row r="4" spans="1:12" ht="63.75">
      <c r="A4" s="2" t="s">
        <v>3500</v>
      </c>
      <c r="B4" s="12" t="s">
        <v>3501</v>
      </c>
      <c r="C4" s="44" t="s">
        <v>3480</v>
      </c>
      <c r="D4" s="8"/>
      <c r="E4" s="44"/>
      <c r="F4" s="43"/>
      <c r="G4" s="23" t="s">
        <v>3983</v>
      </c>
      <c r="H4" s="43">
        <f>AVERAGE(F5:F7)</f>
        <v>0.46567929364853322</v>
      </c>
      <c r="I4" s="43"/>
      <c r="J4" s="44"/>
      <c r="K4" s="44"/>
      <c r="L4" s="43"/>
    </row>
    <row r="5" spans="1:12">
      <c r="A5" s="1" t="s">
        <v>3750</v>
      </c>
      <c r="B5" s="7">
        <v>46.6</v>
      </c>
      <c r="C5" s="7">
        <v>48.35</v>
      </c>
      <c r="D5" s="16">
        <f>(C5-B5)/B5</f>
        <v>3.7553648068669523E-2</v>
      </c>
      <c r="E5" s="9">
        <v>35.11</v>
      </c>
      <c r="F5" s="16">
        <f>(C5-E5)/E5</f>
        <v>0.37710054115636576</v>
      </c>
      <c r="G5" s="40"/>
      <c r="H5" s="16"/>
      <c r="I5" s="16"/>
      <c r="J5" s="9"/>
      <c r="K5" s="9"/>
      <c r="L5" s="16"/>
    </row>
    <row r="6" spans="1:12">
      <c r="A6" s="1" t="s">
        <v>3751</v>
      </c>
      <c r="B6" s="7">
        <v>49.62</v>
      </c>
      <c r="C6" s="7">
        <v>51.46</v>
      </c>
      <c r="D6" s="16">
        <f>(C6-B6)/B6</f>
        <v>3.70818218460299E-2</v>
      </c>
      <c r="E6" s="9">
        <v>35.11</v>
      </c>
      <c r="F6" s="16">
        <f>(C6-E6)/E6</f>
        <v>0.46567929364853322</v>
      </c>
      <c r="G6" s="40"/>
      <c r="H6" s="16"/>
      <c r="I6" s="16"/>
      <c r="J6" s="9"/>
      <c r="K6" s="9"/>
      <c r="L6" s="16"/>
    </row>
    <row r="7" spans="1:12">
      <c r="A7" s="1" t="s">
        <v>3752</v>
      </c>
      <c r="B7" s="7">
        <v>52.64</v>
      </c>
      <c r="C7" s="7">
        <v>54.57</v>
      </c>
      <c r="D7" s="16">
        <f>(C7-B7)/B7</f>
        <v>3.666413373860182E-2</v>
      </c>
      <c r="E7" s="9">
        <v>35.11</v>
      </c>
      <c r="F7" s="16">
        <f>(C7-E7)/E7</f>
        <v>0.55425804614070073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31" t="s">
        <v>3497</v>
      </c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3903</v>
      </c>
      <c r="B10" s="7">
        <v>25.69</v>
      </c>
      <c r="C10" s="7">
        <v>26.77</v>
      </c>
      <c r="D10" s="16">
        <f>(C10-B10)/B10</f>
        <v>4.2039704165044697E-2</v>
      </c>
      <c r="E10" s="9">
        <v>26.77</v>
      </c>
      <c r="F10" s="16">
        <f>(C10-E10)/E10</f>
        <v>0</v>
      </c>
      <c r="G10" s="40"/>
      <c r="H10" s="16"/>
      <c r="I10" s="16"/>
      <c r="J10" s="9"/>
      <c r="K10" s="9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>
      <c r="A12" s="2" t="s">
        <v>3507</v>
      </c>
      <c r="B12" s="11" t="s">
        <v>3534</v>
      </c>
      <c r="C12" s="31" t="s">
        <v>3497</v>
      </c>
      <c r="D12" s="43"/>
      <c r="E12" s="44"/>
      <c r="F12" s="43"/>
      <c r="G12" s="23" t="s">
        <v>3983</v>
      </c>
      <c r="H12" s="43">
        <f>AVERAGE(F13:F15)</f>
        <v>1.8693032596941044E-2</v>
      </c>
      <c r="I12" s="43"/>
      <c r="J12" s="44"/>
      <c r="K12" s="44"/>
      <c r="L12" s="43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H14" s="16"/>
      <c r="I14" s="16"/>
      <c r="J14" s="9"/>
      <c r="K14" s="9"/>
      <c r="L14" s="16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G15" s="40"/>
      <c r="H15" s="16"/>
      <c r="I15" s="16"/>
      <c r="J15" s="9"/>
      <c r="K15" s="9"/>
      <c r="L15" s="16"/>
    </row>
    <row r="16" spans="1:12">
      <c r="A16" s="1"/>
      <c r="B16" s="7"/>
      <c r="C16" s="7"/>
      <c r="D16" s="16"/>
      <c r="E16" s="9"/>
      <c r="F16" s="16"/>
      <c r="G16" s="40"/>
      <c r="H16" s="16"/>
      <c r="I16" s="16"/>
      <c r="J16" s="9"/>
      <c r="K16" s="9"/>
      <c r="L16" s="16"/>
    </row>
    <row r="17" spans="1:12" ht="38.25">
      <c r="A17" s="2" t="s">
        <v>3509</v>
      </c>
      <c r="B17" s="12" t="s">
        <v>3937</v>
      </c>
      <c r="C17" s="44" t="s">
        <v>3480</v>
      </c>
      <c r="D17" s="8"/>
      <c r="E17" s="44"/>
      <c r="F17" s="43"/>
      <c r="G17" s="23" t="s">
        <v>3983</v>
      </c>
      <c r="H17" s="43">
        <f>AVERAGE(F18:F20)</f>
        <v>8.2090341690468568E-2</v>
      </c>
      <c r="I17" s="43"/>
      <c r="J17" s="44"/>
      <c r="K17" s="44"/>
      <c r="L17" s="43"/>
    </row>
    <row r="18" spans="1:12">
      <c r="A18" s="1" t="s">
        <v>3511</v>
      </c>
      <c r="B18" s="7">
        <v>32.68</v>
      </c>
      <c r="C18" s="7">
        <v>32.68</v>
      </c>
      <c r="D18" s="16">
        <f>(C18-B18)/B18</f>
        <v>0</v>
      </c>
      <c r="E18" s="9">
        <v>31.51</v>
      </c>
      <c r="F18" s="16">
        <f>(C18-E18)/E18</f>
        <v>3.7131069501745419E-2</v>
      </c>
      <c r="G18" s="40"/>
      <c r="H18" s="16"/>
      <c r="I18" s="16"/>
      <c r="J18" s="9"/>
      <c r="K18" s="9"/>
      <c r="L18" s="16"/>
    </row>
    <row r="19" spans="1:12">
      <c r="A19" s="1" t="s">
        <v>3512</v>
      </c>
      <c r="B19" s="7">
        <v>33.979999999999997</v>
      </c>
      <c r="C19" s="7">
        <v>33.93</v>
      </c>
      <c r="D19" s="16">
        <f>(C19-B19)/B19</f>
        <v>-1.471453796350711E-3</v>
      </c>
      <c r="E19" s="9">
        <v>31.51</v>
      </c>
      <c r="F19" s="16">
        <f>(C19-E19)/E19</f>
        <v>7.6801015550618787E-2</v>
      </c>
      <c r="G19" s="40"/>
      <c r="H19" s="16"/>
      <c r="I19" s="16"/>
      <c r="J19" s="9"/>
      <c r="K19" s="9"/>
      <c r="L19" s="16"/>
    </row>
    <row r="20" spans="1:12">
      <c r="A20" s="1" t="s">
        <v>3513</v>
      </c>
      <c r="B20" s="7">
        <v>35.68</v>
      </c>
      <c r="C20" s="7">
        <v>35.68</v>
      </c>
      <c r="D20" s="16">
        <f>(C20-B20)/B20</f>
        <v>0</v>
      </c>
      <c r="E20" s="9">
        <v>31.51</v>
      </c>
      <c r="F20" s="16">
        <f>(C20-E20)/E20</f>
        <v>0.13233894001904151</v>
      </c>
      <c r="G20" s="40"/>
      <c r="H20" s="16"/>
      <c r="I20" s="16"/>
      <c r="J20" s="9"/>
      <c r="K20" s="9"/>
      <c r="L20" s="16"/>
    </row>
    <row r="21" spans="1:12">
      <c r="A21" s="1"/>
      <c r="B21" s="7"/>
      <c r="C21" s="7"/>
      <c r="D21" s="16"/>
      <c r="E21" s="9"/>
      <c r="F21" s="16"/>
      <c r="G21" s="40"/>
      <c r="H21" s="16"/>
      <c r="I21" s="16"/>
      <c r="J21" s="9"/>
      <c r="K21" s="9"/>
      <c r="L21" s="16"/>
    </row>
    <row r="22" spans="1:12" ht="38.25">
      <c r="A22" s="2" t="s">
        <v>3514</v>
      </c>
      <c r="B22" s="12" t="s">
        <v>3510</v>
      </c>
      <c r="C22" s="12" t="s">
        <v>3510</v>
      </c>
      <c r="D22" s="43"/>
      <c r="E22" s="44"/>
      <c r="F22" s="43"/>
      <c r="G22" s="23" t="s">
        <v>3983</v>
      </c>
      <c r="H22" s="43">
        <f>AVERAGE(F23:F24)</f>
        <v>3.5705078628512452E-2</v>
      </c>
      <c r="I22" s="43"/>
      <c r="J22" s="44"/>
      <c r="K22" s="44"/>
      <c r="L22" s="43"/>
    </row>
    <row r="23" spans="1:12">
      <c r="A23" s="1" t="s">
        <v>3515</v>
      </c>
      <c r="B23" s="7">
        <v>38.299999999999997</v>
      </c>
      <c r="C23" s="7">
        <v>38.799999999999997</v>
      </c>
      <c r="D23" s="16">
        <f>(C23-B23)/B23</f>
        <v>1.3054830287206267E-2</v>
      </c>
      <c r="E23" s="9">
        <v>38.79</v>
      </c>
      <c r="F23" s="16">
        <f>(C23-E23)/E23</f>
        <v>2.577984016498585E-4</v>
      </c>
      <c r="G23" s="40"/>
      <c r="H23" s="16"/>
      <c r="I23" s="16"/>
      <c r="J23" s="9"/>
      <c r="K23" s="9"/>
      <c r="L23" s="16"/>
    </row>
    <row r="24" spans="1:12">
      <c r="A24" s="1" t="s">
        <v>3516</v>
      </c>
      <c r="B24" s="7">
        <v>41.05</v>
      </c>
      <c r="C24" s="7">
        <v>41.55</v>
      </c>
      <c r="D24" s="16">
        <f>(C24-B24)/B24</f>
        <v>1.2180267965895251E-2</v>
      </c>
      <c r="E24" s="9">
        <v>38.79</v>
      </c>
      <c r="F24" s="16">
        <f>(C24-E24)/E24</f>
        <v>7.1152358855375047E-2</v>
      </c>
      <c r="G24" s="40"/>
      <c r="H24" s="16"/>
      <c r="I24" s="16"/>
      <c r="J24" s="9"/>
      <c r="K24" s="9"/>
      <c r="L24" s="16"/>
    </row>
    <row r="25" spans="1:12">
      <c r="A25" s="1"/>
      <c r="B25" s="7"/>
      <c r="C25" s="7"/>
      <c r="D25" s="16"/>
      <c r="E25" s="9"/>
      <c r="F25" s="16"/>
      <c r="G25" s="40"/>
      <c r="H25" s="16"/>
      <c r="I25" s="16"/>
      <c r="J25" s="9"/>
      <c r="K25" s="9"/>
      <c r="L25" s="16"/>
    </row>
    <row r="26" spans="1:12">
      <c r="A26" s="2" t="s">
        <v>3517</v>
      </c>
      <c r="B26" s="7"/>
      <c r="C26" s="31"/>
      <c r="D26" s="43"/>
      <c r="E26" s="44"/>
      <c r="F26" s="43"/>
      <c r="G26" s="23" t="s">
        <v>3983</v>
      </c>
      <c r="H26" s="43">
        <f>AVERAGE(F27:F28)</f>
        <v>2.9069767441860465E-2</v>
      </c>
      <c r="I26" s="43"/>
      <c r="J26" s="44"/>
      <c r="K26" s="44"/>
      <c r="L26" s="43"/>
    </row>
    <row r="27" spans="1:12">
      <c r="A27" s="1" t="s">
        <v>3521</v>
      </c>
      <c r="B27" s="7">
        <v>17</v>
      </c>
      <c r="C27" s="7">
        <v>34.4</v>
      </c>
      <c r="D27" s="16">
        <f>(C27-B27)/B27</f>
        <v>1.0235294117647058</v>
      </c>
      <c r="E27" s="9">
        <v>34.4</v>
      </c>
      <c r="F27" s="16">
        <f>(C27-E27)/E27</f>
        <v>0</v>
      </c>
      <c r="G27" s="40"/>
      <c r="H27" s="16"/>
      <c r="I27" s="16"/>
      <c r="J27" s="9"/>
      <c r="K27" s="9"/>
      <c r="L27" s="16"/>
    </row>
    <row r="28" spans="1:12">
      <c r="A28" s="1" t="s">
        <v>3522</v>
      </c>
      <c r="B28" s="7">
        <v>17</v>
      </c>
      <c r="C28" s="7">
        <v>36.4</v>
      </c>
      <c r="D28" s="16">
        <f>(C28-B28)/B28</f>
        <v>1.1411764705882352</v>
      </c>
      <c r="E28" s="9">
        <v>34.4</v>
      </c>
      <c r="F28" s="16">
        <f>(C28-E28)/E28</f>
        <v>5.8139534883720929E-2</v>
      </c>
      <c r="G28" s="40"/>
      <c r="H28" s="16"/>
      <c r="I28" s="16"/>
      <c r="J28" s="9"/>
      <c r="K28" s="9"/>
      <c r="L28" s="16"/>
    </row>
    <row r="29" spans="1:12">
      <c r="A29" s="143"/>
      <c r="B29" s="143"/>
      <c r="C29" s="7"/>
      <c r="D29" s="16"/>
      <c r="E29" s="9"/>
      <c r="F29" s="16"/>
      <c r="G29" s="40"/>
      <c r="H29" s="16"/>
      <c r="I29" s="16"/>
      <c r="J29" s="9"/>
      <c r="K29" s="9"/>
      <c r="L29" s="16"/>
    </row>
    <row r="30" spans="1:12" ht="12.75" customHeight="1">
      <c r="A30" s="144" t="s">
        <v>3676</v>
      </c>
      <c r="B30" s="144"/>
      <c r="C30" s="62" t="s">
        <v>3499</v>
      </c>
      <c r="D30" s="43"/>
      <c r="E30" s="44"/>
      <c r="F30" s="43"/>
      <c r="G30" s="23" t="s">
        <v>3984</v>
      </c>
      <c r="H30" s="43"/>
      <c r="I30" s="43">
        <f>AVERAGE(F31:F33)</f>
        <v>0</v>
      </c>
      <c r="J30" s="44"/>
      <c r="K30" s="44"/>
      <c r="L30" s="43"/>
    </row>
    <row r="31" spans="1:12" ht="25.5">
      <c r="A31" s="1" t="s">
        <v>3677</v>
      </c>
      <c r="B31" s="7">
        <v>27.97</v>
      </c>
      <c r="C31" s="7">
        <v>25.66</v>
      </c>
      <c r="D31" s="16">
        <f>(C31-B31)/B31</f>
        <v>-8.2588487665355689E-2</v>
      </c>
      <c r="E31" s="9">
        <v>25.66</v>
      </c>
      <c r="F31" s="16">
        <f>(C31-E31)/E31</f>
        <v>0</v>
      </c>
      <c r="G31" s="40"/>
      <c r="H31" s="16"/>
      <c r="I31" s="16"/>
      <c r="J31" s="9"/>
      <c r="K31" s="9"/>
      <c r="L31" s="16"/>
    </row>
    <row r="32" spans="1:12" ht="25.5">
      <c r="A32" s="1" t="s">
        <v>3678</v>
      </c>
      <c r="B32" s="7">
        <v>30.88</v>
      </c>
      <c r="C32" s="7">
        <v>25.66</v>
      </c>
      <c r="D32" s="16">
        <f>(C32-B32)/B32</f>
        <v>-0.16904145077720203</v>
      </c>
      <c r="E32" s="9">
        <v>25.66</v>
      </c>
      <c r="F32" s="16">
        <f>(C32-E32)/E32</f>
        <v>0</v>
      </c>
      <c r="G32" s="40"/>
      <c r="H32" s="16"/>
      <c r="I32" s="16"/>
      <c r="J32" s="9"/>
      <c r="K32" s="9"/>
      <c r="L32" s="16"/>
    </row>
    <row r="33" spans="1:12" ht="25.5">
      <c r="A33" s="1" t="s">
        <v>3679</v>
      </c>
      <c r="B33" s="7">
        <v>33.130000000000003</v>
      </c>
      <c r="C33" s="7">
        <v>25.66</v>
      </c>
      <c r="D33" s="16">
        <f>(C33-B33)/B33</f>
        <v>-0.22547539993963181</v>
      </c>
      <c r="E33" s="9">
        <v>25.66</v>
      </c>
      <c r="F33" s="16">
        <f>(C33-E33)/E33</f>
        <v>0</v>
      </c>
      <c r="G33" s="40"/>
      <c r="H33" s="16"/>
      <c r="I33" s="16"/>
      <c r="J33" s="9"/>
      <c r="K33" s="9"/>
      <c r="L33" s="16"/>
    </row>
    <row r="34" spans="1:12">
      <c r="A34" s="1"/>
      <c r="B34" s="7"/>
      <c r="C34" s="7"/>
      <c r="D34" s="16"/>
      <c r="E34" s="9"/>
      <c r="F34" s="16"/>
      <c r="G34" s="40"/>
      <c r="H34" s="16"/>
      <c r="I34" s="16"/>
      <c r="J34" s="9"/>
      <c r="K34" s="9"/>
      <c r="L34" s="16"/>
    </row>
    <row r="35" spans="1:12">
      <c r="A35" s="2" t="s">
        <v>3527</v>
      </c>
      <c r="B35" s="11" t="s">
        <v>3534</v>
      </c>
      <c r="C35" s="33" t="s">
        <v>3534</v>
      </c>
      <c r="D35" s="43"/>
      <c r="E35" s="44"/>
      <c r="F35" s="43"/>
      <c r="G35" s="23" t="s">
        <v>3983</v>
      </c>
      <c r="H35" s="43">
        <f>AVERAGE(F36:F40)</f>
        <v>-2.2260273972602725E-2</v>
      </c>
      <c r="I35" s="43"/>
      <c r="J35" s="44"/>
      <c r="K35" s="44"/>
      <c r="L35" s="43"/>
    </row>
    <row r="36" spans="1:12">
      <c r="A36" s="1" t="s">
        <v>3528</v>
      </c>
      <c r="B36" s="7">
        <v>39.19</v>
      </c>
      <c r="C36" s="7">
        <v>40.5</v>
      </c>
      <c r="D36" s="16">
        <f>(C36-B36)/B36</f>
        <v>3.3426894615973521E-2</v>
      </c>
      <c r="E36" s="9">
        <v>58.4</v>
      </c>
      <c r="F36" s="16">
        <f>(C36-E36)/E36</f>
        <v>-0.3065068493150685</v>
      </c>
      <c r="G36" s="40"/>
      <c r="H36" s="16"/>
      <c r="I36" s="16"/>
      <c r="J36" s="9"/>
      <c r="K36" s="9"/>
      <c r="L36" s="16"/>
    </row>
    <row r="37" spans="1:12">
      <c r="A37" s="1" t="s">
        <v>3529</v>
      </c>
      <c r="B37" s="7">
        <v>57.91</v>
      </c>
      <c r="C37" s="7">
        <v>59.9</v>
      </c>
      <c r="D37" s="16">
        <f>(C37-B37)/B37</f>
        <v>3.4363667760317768E-2</v>
      </c>
      <c r="E37" s="9">
        <v>58.4</v>
      </c>
      <c r="F37" s="16">
        <f>(C37-E37)/E37</f>
        <v>2.5684931506849317E-2</v>
      </c>
      <c r="G37" s="40"/>
      <c r="H37" s="16"/>
      <c r="I37" s="16"/>
      <c r="J37" s="9"/>
      <c r="K37" s="9"/>
      <c r="L37" s="16"/>
    </row>
    <row r="38" spans="1:12">
      <c r="A38" s="1" t="s">
        <v>3530</v>
      </c>
      <c r="B38" s="7">
        <v>63.02</v>
      </c>
      <c r="C38" s="7">
        <v>65.16</v>
      </c>
      <c r="D38" s="16">
        <f>(C38-B38)/B38</f>
        <v>3.3957473817835503E-2</v>
      </c>
      <c r="E38" s="9">
        <v>58.4</v>
      </c>
      <c r="F38" s="16">
        <f>(C38-E38)/E38</f>
        <v>0.11575342465753422</v>
      </c>
      <c r="G38" s="40"/>
      <c r="H38" s="16"/>
      <c r="I38" s="16"/>
      <c r="J38" s="9"/>
      <c r="K38" s="9"/>
      <c r="L38" s="16"/>
    </row>
    <row r="39" spans="1:12">
      <c r="A39" s="1" t="s">
        <v>3531</v>
      </c>
      <c r="B39" s="7">
        <v>68.12</v>
      </c>
      <c r="C39" s="7">
        <v>70.45</v>
      </c>
      <c r="D39" s="16">
        <f>(C39-B39)/B39</f>
        <v>3.4204345273047533E-2</v>
      </c>
      <c r="E39" s="9">
        <v>58.4</v>
      </c>
      <c r="F39" s="16">
        <f>(C39-E39)/E39</f>
        <v>0.20633561643835624</v>
      </c>
      <c r="G39" s="40"/>
      <c r="H39" s="16"/>
      <c r="I39" s="16"/>
      <c r="J39" s="9"/>
      <c r="K39" s="9"/>
      <c r="L39" s="16"/>
    </row>
    <row r="40" spans="1:12">
      <c r="A40" s="1" t="s">
        <v>3532</v>
      </c>
      <c r="B40" s="7">
        <v>47.86</v>
      </c>
      <c r="C40" s="7">
        <v>49.49</v>
      </c>
      <c r="D40" s="16">
        <f>(C40-B40)/B40</f>
        <v>3.4057668198913552E-2</v>
      </c>
      <c r="E40" s="9">
        <v>58.4</v>
      </c>
      <c r="F40" s="16">
        <f>(C40-E40)/E40</f>
        <v>-0.15256849315068488</v>
      </c>
      <c r="G40" s="40"/>
      <c r="H40" s="16"/>
      <c r="I40" s="16"/>
      <c r="J40" s="9"/>
      <c r="K40" s="9"/>
      <c r="L40" s="16"/>
    </row>
    <row r="41" spans="1:12">
      <c r="A41" s="1"/>
      <c r="B41" s="7"/>
      <c r="C41" s="7"/>
      <c r="D41" s="16"/>
      <c r="E41" s="9"/>
      <c r="F41" s="16"/>
      <c r="G41" s="40"/>
      <c r="H41" s="16"/>
      <c r="I41" s="16"/>
      <c r="J41" s="9"/>
      <c r="K41" s="9"/>
      <c r="L41" s="16"/>
    </row>
    <row r="42" spans="1:12">
      <c r="A42" s="2" t="s">
        <v>3533</v>
      </c>
      <c r="B42" s="7"/>
      <c r="C42" s="31" t="s">
        <v>3497</v>
      </c>
      <c r="D42" s="43"/>
      <c r="E42" s="44"/>
      <c r="F42" s="43"/>
      <c r="G42" s="23" t="s">
        <v>3983</v>
      </c>
      <c r="H42" s="43">
        <f>AVERAGE(F43)</f>
        <v>5.7445868316395301E-3</v>
      </c>
      <c r="I42" s="43"/>
      <c r="J42" s="44"/>
      <c r="K42" s="44"/>
      <c r="L42" s="43"/>
    </row>
    <row r="43" spans="1:12">
      <c r="A43" s="1" t="s">
        <v>3535</v>
      </c>
      <c r="B43" s="7">
        <v>44.31</v>
      </c>
      <c r="C43" s="7">
        <v>45.52</v>
      </c>
      <c r="D43" s="16">
        <f>(C43-B43)/B43</f>
        <v>2.7307605506657655E-2</v>
      </c>
      <c r="E43" s="9">
        <v>45.26</v>
      </c>
      <c r="F43" s="16">
        <f>(C43-E43)/E43</f>
        <v>5.7445868316395301E-3</v>
      </c>
      <c r="G43" s="40"/>
      <c r="H43" s="16"/>
      <c r="I43" s="16"/>
      <c r="J43" s="9"/>
      <c r="K43" s="9"/>
      <c r="L43" s="16"/>
    </row>
    <row r="44" spans="1:12">
      <c r="A44" s="1"/>
      <c r="B44" s="7"/>
      <c r="C44" s="7"/>
      <c r="D44" s="16"/>
      <c r="E44" s="9"/>
      <c r="F44" s="16"/>
      <c r="G44" s="40"/>
      <c r="H44" s="16"/>
      <c r="I44" s="16"/>
      <c r="J44" s="9"/>
      <c r="K44" s="9"/>
      <c r="L44" s="16"/>
    </row>
    <row r="45" spans="1:12">
      <c r="A45" s="2" t="s">
        <v>3536</v>
      </c>
      <c r="B45" s="7"/>
      <c r="C45" s="31"/>
      <c r="D45" s="43"/>
      <c r="E45" s="44"/>
      <c r="F45" s="43"/>
      <c r="G45" s="23" t="s">
        <v>3983</v>
      </c>
      <c r="H45" s="43">
        <f>AVERAGE(F46)</f>
        <v>4.5286125977768689E-2</v>
      </c>
      <c r="I45" s="43"/>
      <c r="J45" s="44"/>
      <c r="K45" s="44"/>
      <c r="L45" s="43"/>
    </row>
    <row r="46" spans="1:12">
      <c r="A46" s="1" t="s">
        <v>3939</v>
      </c>
      <c r="B46" s="7">
        <v>47.69</v>
      </c>
      <c r="C46" s="7">
        <v>50.78</v>
      </c>
      <c r="D46" s="16">
        <f>(C46-B46)/B46</f>
        <v>6.4793457747955627E-2</v>
      </c>
      <c r="E46" s="9">
        <v>48.58</v>
      </c>
      <c r="F46" s="16">
        <f>(C46-E46)/E46</f>
        <v>4.5286125977768689E-2</v>
      </c>
      <c r="G46" s="40"/>
      <c r="H46" s="16"/>
      <c r="I46" s="16"/>
      <c r="J46" s="9"/>
      <c r="K46" s="9"/>
      <c r="L46" s="16"/>
    </row>
    <row r="47" spans="1:12">
      <c r="A47" s="1"/>
      <c r="B47" s="7"/>
      <c r="C47" s="7"/>
      <c r="D47" s="16"/>
      <c r="E47" s="9"/>
      <c r="F47" s="16"/>
      <c r="G47" s="40"/>
      <c r="H47" s="16"/>
      <c r="I47" s="16"/>
      <c r="J47" s="9"/>
      <c r="K47" s="9"/>
      <c r="L47" s="16"/>
    </row>
    <row r="48" spans="1:12">
      <c r="A48" s="2" t="s">
        <v>3541</v>
      </c>
      <c r="B48" s="11" t="s">
        <v>3534</v>
      </c>
      <c r="C48" s="31" t="s">
        <v>3497</v>
      </c>
      <c r="D48" s="43"/>
      <c r="E48" s="44"/>
      <c r="F48" s="43"/>
      <c r="G48" s="23" t="s">
        <v>3983</v>
      </c>
      <c r="H48" s="43">
        <f>AVERAGE(F49:F50)</f>
        <v>0.13484470327232381</v>
      </c>
      <c r="I48" s="43"/>
      <c r="J48" s="44"/>
      <c r="K48" s="44"/>
      <c r="L48" s="43"/>
    </row>
    <row r="49" spans="1:12" ht="25.5">
      <c r="A49" s="1" t="s">
        <v>3542</v>
      </c>
      <c r="B49" s="7">
        <v>46.01</v>
      </c>
      <c r="C49" s="7">
        <v>78.209999999999994</v>
      </c>
      <c r="D49" s="16">
        <f>(C49-B49)/B49</f>
        <v>0.69984785916105186</v>
      </c>
      <c r="E49" s="9">
        <v>72.12</v>
      </c>
      <c r="F49" s="16">
        <f>(C49-E49)/E49</f>
        <v>8.4442595673876714E-2</v>
      </c>
      <c r="G49" s="40"/>
      <c r="H49" s="16"/>
      <c r="I49" s="16"/>
      <c r="J49" s="9"/>
      <c r="K49" s="9"/>
      <c r="L49" s="16"/>
    </row>
    <row r="50" spans="1:12">
      <c r="A50" s="1" t="s">
        <v>3963</v>
      </c>
      <c r="B50" s="7">
        <v>46.01</v>
      </c>
      <c r="C50" s="7">
        <v>85.48</v>
      </c>
      <c r="D50" s="16">
        <f>(C50-B50)/B50</f>
        <v>0.85785698761138895</v>
      </c>
      <c r="E50" s="9">
        <v>72.12</v>
      </c>
      <c r="F50" s="16">
        <f>(C50-E50)/E50</f>
        <v>0.18524681087077091</v>
      </c>
      <c r="G50" s="40"/>
      <c r="H50" s="16"/>
      <c r="I50" s="16"/>
      <c r="J50" s="9"/>
      <c r="K50" s="9"/>
      <c r="L50" s="16"/>
    </row>
    <row r="51" spans="1:12">
      <c r="A51" s="1"/>
      <c r="B51" s="7"/>
      <c r="C51" s="7"/>
      <c r="D51" s="16"/>
      <c r="E51" s="9"/>
      <c r="F51" s="16"/>
      <c r="G51" s="40"/>
      <c r="H51" s="16"/>
      <c r="I51" s="16"/>
      <c r="J51" s="9"/>
      <c r="K51" s="9"/>
      <c r="L51" s="16"/>
    </row>
    <row r="52" spans="1:12" ht="51">
      <c r="A52" s="2" t="s">
        <v>3544</v>
      </c>
      <c r="B52" s="12" t="s">
        <v>3682</v>
      </c>
      <c r="C52" s="31" t="s">
        <v>3480</v>
      </c>
      <c r="D52" s="43"/>
      <c r="E52" s="44"/>
      <c r="F52" s="43"/>
      <c r="G52" s="23" t="s">
        <v>3984</v>
      </c>
      <c r="H52" s="43"/>
      <c r="I52" s="43">
        <f>AVERAGE(F53)</f>
        <v>0</v>
      </c>
      <c r="J52" s="44"/>
      <c r="K52" s="44"/>
      <c r="L52" s="43"/>
    </row>
    <row r="53" spans="1:12">
      <c r="A53" s="1" t="s">
        <v>3545</v>
      </c>
      <c r="B53" s="7">
        <v>30.82</v>
      </c>
      <c r="C53" s="7">
        <v>48.07</v>
      </c>
      <c r="D53" s="16">
        <f>(C53-B53)/B53</f>
        <v>0.55970149253731338</v>
      </c>
      <c r="E53" s="9">
        <v>48.07</v>
      </c>
      <c r="F53" s="16">
        <f>(C53-E53)/E53</f>
        <v>0</v>
      </c>
      <c r="G53" s="40"/>
      <c r="H53" s="16"/>
      <c r="I53" s="16"/>
      <c r="J53" s="9"/>
      <c r="K53" s="9"/>
      <c r="L53" s="16"/>
    </row>
    <row r="54" spans="1:12">
      <c r="A54" s="1"/>
      <c r="B54" s="7"/>
      <c r="C54" s="7"/>
      <c r="D54" s="16"/>
      <c r="E54" s="9"/>
      <c r="F54" s="16"/>
      <c r="G54" s="40"/>
      <c r="H54" s="16"/>
      <c r="I54" s="16"/>
      <c r="J54" s="9"/>
      <c r="K54" s="9"/>
      <c r="L54" s="16"/>
    </row>
    <row r="55" spans="1:12" ht="51">
      <c r="A55" s="2" t="s">
        <v>3546</v>
      </c>
      <c r="B55" s="12" t="s">
        <v>3682</v>
      </c>
      <c r="C55" s="12" t="s">
        <v>3682</v>
      </c>
      <c r="D55" s="43"/>
      <c r="E55" s="44"/>
      <c r="F55" s="43"/>
      <c r="G55" s="23"/>
      <c r="H55" s="43"/>
      <c r="I55" s="43"/>
      <c r="J55" s="44"/>
      <c r="K55" s="44"/>
      <c r="L55" s="43"/>
    </row>
    <row r="56" spans="1:12">
      <c r="A56" s="1" t="s">
        <v>3548</v>
      </c>
      <c r="B56" s="7">
        <v>27.95</v>
      </c>
      <c r="C56" s="7">
        <v>27.95</v>
      </c>
      <c r="D56" s="16">
        <f>(C56-B56)/B56</f>
        <v>0</v>
      </c>
      <c r="E56" s="9"/>
      <c r="F56" s="16"/>
      <c r="G56" s="40"/>
      <c r="H56" s="16"/>
      <c r="I56" s="16"/>
      <c r="J56" s="9"/>
      <c r="K56" s="9"/>
      <c r="L56" s="16"/>
    </row>
    <row r="57" spans="1:12">
      <c r="A57" s="1"/>
      <c r="B57" s="7"/>
      <c r="C57" s="7"/>
      <c r="D57" s="16"/>
      <c r="E57" s="9"/>
      <c r="F57" s="16"/>
      <c r="G57" s="40"/>
      <c r="H57" s="16"/>
      <c r="I57" s="16"/>
      <c r="J57" s="9"/>
      <c r="K57" s="9"/>
      <c r="L57" s="16"/>
    </row>
    <row r="58" spans="1:12">
      <c r="A58" s="2" t="s">
        <v>3549</v>
      </c>
      <c r="B58" s="7"/>
      <c r="C58" s="31" t="s">
        <v>3497</v>
      </c>
      <c r="D58" s="43"/>
      <c r="E58" s="44"/>
      <c r="F58" s="43"/>
      <c r="G58" s="23" t="s">
        <v>3983</v>
      </c>
      <c r="H58" s="43">
        <f>AVERAGE(F59:F60)</f>
        <v>3.6491324703938281E-2</v>
      </c>
      <c r="I58" s="43"/>
      <c r="J58" s="44"/>
      <c r="K58" s="44"/>
      <c r="L58" s="43"/>
    </row>
    <row r="59" spans="1:12">
      <c r="A59" s="1" t="s">
        <v>3550</v>
      </c>
      <c r="B59" s="7">
        <v>36.26</v>
      </c>
      <c r="C59" s="7">
        <v>36.340000000000003</v>
      </c>
      <c r="D59" s="16">
        <f>(C59-B59)/B59</f>
        <v>2.2062879205737838E-3</v>
      </c>
      <c r="E59" s="9">
        <v>36.31</v>
      </c>
      <c r="F59" s="16">
        <f>(C59-E59)/E59</f>
        <v>8.2621867254203073E-4</v>
      </c>
      <c r="G59" s="40"/>
      <c r="H59" s="16"/>
      <c r="I59" s="16"/>
      <c r="J59" s="9"/>
      <c r="K59" s="9"/>
      <c r="L59" s="16"/>
    </row>
    <row r="60" spans="1:12">
      <c r="A60" s="1" t="s">
        <v>3551</v>
      </c>
      <c r="B60" s="7">
        <v>38.9</v>
      </c>
      <c r="C60" s="7">
        <v>38.93</v>
      </c>
      <c r="D60" s="16">
        <f>(C60-B60)/B60</f>
        <v>7.7120822622110891E-4</v>
      </c>
      <c r="E60" s="9">
        <v>36.31</v>
      </c>
      <c r="F60" s="16">
        <f>(C60-E60)/E60</f>
        <v>7.2156430735334537E-2</v>
      </c>
      <c r="G60" s="40"/>
      <c r="H60" s="16"/>
      <c r="I60" s="16"/>
      <c r="J60" s="9"/>
      <c r="K60" s="9"/>
      <c r="L60" s="16"/>
    </row>
    <row r="61" spans="1:12">
      <c r="A61" s="1"/>
      <c r="B61" s="7"/>
      <c r="C61" s="7"/>
      <c r="D61" s="16"/>
      <c r="E61" s="9"/>
      <c r="F61" s="16"/>
      <c r="G61" s="40"/>
      <c r="H61" s="16"/>
      <c r="I61" s="16"/>
      <c r="J61" s="9"/>
      <c r="K61" s="9"/>
      <c r="L61" s="16"/>
    </row>
    <row r="62" spans="1:12">
      <c r="A62" s="2" t="s">
        <v>3552</v>
      </c>
      <c r="B62" s="11" t="s">
        <v>3534</v>
      </c>
      <c r="C62" s="31" t="s">
        <v>3497</v>
      </c>
      <c r="D62" s="43"/>
      <c r="E62" s="44"/>
      <c r="F62" s="43"/>
      <c r="G62" s="23" t="s">
        <v>3984</v>
      </c>
      <c r="H62" s="43"/>
      <c r="I62" s="43">
        <f>AVERAGE(F63)</f>
        <v>2.2835394862036177E-2</v>
      </c>
      <c r="J62" s="44"/>
      <c r="K62" s="44"/>
      <c r="L62" s="43"/>
    </row>
    <row r="63" spans="1:12">
      <c r="A63" s="1" t="s">
        <v>3553</v>
      </c>
      <c r="B63" s="7">
        <v>21.5</v>
      </c>
      <c r="C63" s="7">
        <v>21.5</v>
      </c>
      <c r="D63" s="16">
        <f>(C63-B63)/B63</f>
        <v>0</v>
      </c>
      <c r="E63" s="9">
        <v>21.02</v>
      </c>
      <c r="F63" s="16">
        <f>(C63-E63)/E63</f>
        <v>2.2835394862036177E-2</v>
      </c>
      <c r="G63" s="40"/>
      <c r="H63" s="16"/>
      <c r="I63" s="16"/>
      <c r="J63" s="9"/>
      <c r="K63" s="9"/>
      <c r="L63" s="16"/>
    </row>
    <row r="64" spans="1:12">
      <c r="A64" s="1"/>
      <c r="B64" s="7"/>
      <c r="C64" s="7"/>
      <c r="D64" s="16"/>
      <c r="E64" s="9"/>
      <c r="F64" s="16"/>
      <c r="G64" s="40"/>
      <c r="H64" s="16"/>
      <c r="I64" s="16"/>
      <c r="J64" s="9"/>
      <c r="K64" s="9"/>
      <c r="L64" s="16"/>
    </row>
    <row r="65" spans="1:12" ht="51">
      <c r="A65" s="2" t="s">
        <v>3554</v>
      </c>
      <c r="B65" s="12" t="s">
        <v>3682</v>
      </c>
      <c r="C65" s="12" t="s">
        <v>3682</v>
      </c>
      <c r="D65" s="43"/>
      <c r="E65" s="44"/>
      <c r="F65" s="43"/>
      <c r="G65" s="23" t="s">
        <v>3983</v>
      </c>
      <c r="H65" s="43">
        <f>AVERAGE(F66)</f>
        <v>0</v>
      </c>
      <c r="I65" s="43"/>
      <c r="J65" s="44"/>
      <c r="K65" s="44"/>
      <c r="L65" s="43"/>
    </row>
    <row r="66" spans="1:12">
      <c r="A66" s="1" t="s">
        <v>3555</v>
      </c>
      <c r="B66" s="7">
        <v>33.57</v>
      </c>
      <c r="C66" s="7">
        <v>33.57</v>
      </c>
      <c r="D66" s="16">
        <f>(C66-B66)/B66</f>
        <v>0</v>
      </c>
      <c r="E66" s="9">
        <v>33.57</v>
      </c>
      <c r="F66" s="16">
        <f>(C66-E66)/E66</f>
        <v>0</v>
      </c>
      <c r="G66" s="40"/>
      <c r="H66" s="16"/>
      <c r="I66" s="16"/>
      <c r="J66" s="9"/>
      <c r="K66" s="9"/>
      <c r="L66" s="16"/>
    </row>
    <row r="67" spans="1:12">
      <c r="A67" s="143"/>
      <c r="B67" s="143"/>
      <c r="C67" s="7"/>
      <c r="D67" s="16"/>
      <c r="E67" s="9"/>
      <c r="F67" s="16"/>
      <c r="G67" s="40"/>
      <c r="H67" s="16"/>
      <c r="I67" s="16"/>
      <c r="J67" s="9"/>
      <c r="K67" s="9"/>
      <c r="L67" s="16"/>
    </row>
    <row r="68" spans="1:12" ht="38.25">
      <c r="A68" s="2" t="s">
        <v>3556</v>
      </c>
      <c r="B68" s="12" t="s">
        <v>3510</v>
      </c>
      <c r="C68" s="63" t="s">
        <v>3499</v>
      </c>
      <c r="D68" s="43"/>
      <c r="E68" s="44"/>
      <c r="F68" s="43"/>
      <c r="G68" s="23" t="s">
        <v>3983</v>
      </c>
      <c r="H68" s="43">
        <f>AVERAGE(F69:F70)</f>
        <v>8.3056478405315604E-3</v>
      </c>
      <c r="I68" s="43"/>
      <c r="J68" s="44"/>
      <c r="K68" s="44"/>
      <c r="L68" s="43"/>
    </row>
    <row r="69" spans="1:12">
      <c r="A69" s="1" t="s">
        <v>3557</v>
      </c>
      <c r="B69" s="7">
        <v>30.1</v>
      </c>
      <c r="C69" s="7">
        <v>30.1</v>
      </c>
      <c r="D69" s="16">
        <f>(C69-B69)/B69</f>
        <v>0</v>
      </c>
      <c r="E69" s="9">
        <v>30.1</v>
      </c>
      <c r="F69" s="16">
        <f>(C69-E69)/E69</f>
        <v>0</v>
      </c>
      <c r="G69" s="40"/>
      <c r="H69" s="16"/>
      <c r="I69" s="16"/>
      <c r="J69" s="9"/>
      <c r="K69" s="9"/>
      <c r="L69" s="16"/>
    </row>
    <row r="70" spans="1:12">
      <c r="A70" s="1" t="s">
        <v>3683</v>
      </c>
      <c r="B70" s="7">
        <v>30.6</v>
      </c>
      <c r="C70" s="7">
        <v>30.6</v>
      </c>
      <c r="D70" s="16">
        <f>(C70-B70)/B70</f>
        <v>0</v>
      </c>
      <c r="E70" s="9">
        <v>30.1</v>
      </c>
      <c r="F70" s="16">
        <f>(C70-E70)/E70</f>
        <v>1.6611295681063121E-2</v>
      </c>
      <c r="G70" s="40"/>
      <c r="H70" s="16"/>
      <c r="I70" s="16"/>
      <c r="J70" s="9"/>
      <c r="K70" s="9"/>
      <c r="L70" s="16"/>
    </row>
    <row r="71" spans="1:12">
      <c r="A71" s="143"/>
      <c r="B71" s="143"/>
      <c r="C71" s="7"/>
      <c r="D71" s="16"/>
      <c r="E71" s="9"/>
      <c r="F71" s="16"/>
      <c r="G71" s="40"/>
      <c r="H71" s="16"/>
      <c r="I71" s="16"/>
      <c r="J71" s="9"/>
      <c r="K71" s="9"/>
      <c r="L71" s="16"/>
    </row>
    <row r="72" spans="1:12" ht="38.25">
      <c r="A72" s="2" t="s">
        <v>3684</v>
      </c>
      <c r="B72" s="12" t="s">
        <v>3510</v>
      </c>
      <c r="C72" s="63" t="s">
        <v>3481</v>
      </c>
      <c r="D72" s="43"/>
      <c r="E72" s="44"/>
      <c r="F72" s="43"/>
      <c r="G72" s="23" t="s">
        <v>3983</v>
      </c>
      <c r="H72" s="43">
        <f>AVERAGE(F73:F75)</f>
        <v>3.8112164296998416E-2</v>
      </c>
      <c r="I72" s="43"/>
      <c r="J72" s="44"/>
      <c r="K72" s="44"/>
      <c r="L72" s="43"/>
    </row>
    <row r="73" spans="1:12">
      <c r="A73" s="1" t="s">
        <v>3560</v>
      </c>
      <c r="B73" s="7">
        <v>33.76</v>
      </c>
      <c r="C73" s="7">
        <v>34.26</v>
      </c>
      <c r="D73" s="16">
        <f>(C73-B73)/B73</f>
        <v>1.481042654028436E-2</v>
      </c>
      <c r="E73" s="9">
        <v>33.76</v>
      </c>
      <c r="F73" s="16">
        <f>(C73-E73)/E73</f>
        <v>1.481042654028436E-2</v>
      </c>
      <c r="G73" s="40"/>
      <c r="H73" s="16"/>
      <c r="I73" s="16"/>
      <c r="J73" s="9"/>
      <c r="K73" s="9"/>
      <c r="L73" s="16"/>
    </row>
    <row r="74" spans="1:12">
      <c r="A74" s="1" t="s">
        <v>3909</v>
      </c>
      <c r="B74" s="7">
        <v>34.76</v>
      </c>
      <c r="C74" s="7">
        <v>35.26</v>
      </c>
      <c r="D74" s="16">
        <f>(C74-B74)/B74</f>
        <v>1.4384349827387804E-2</v>
      </c>
      <c r="E74" s="9">
        <v>33.76</v>
      </c>
      <c r="F74" s="16">
        <f>(C74-E74)/E74</f>
        <v>4.4431279620853081E-2</v>
      </c>
      <c r="G74" s="40"/>
      <c r="H74" s="16"/>
      <c r="I74" s="16"/>
      <c r="J74" s="9"/>
      <c r="K74" s="9"/>
      <c r="L74" s="16"/>
    </row>
    <row r="75" spans="1:12">
      <c r="A75" s="1" t="s">
        <v>3562</v>
      </c>
      <c r="B75" s="7">
        <v>35.119999999999997</v>
      </c>
      <c r="C75" s="7">
        <v>35.619999999999997</v>
      </c>
      <c r="D75" s="16">
        <f>(C75-B75)/B75</f>
        <v>1.4236902050113897E-2</v>
      </c>
      <c r="E75" s="9">
        <v>33.76</v>
      </c>
      <c r="F75" s="16">
        <f>(C75-E75)/E75</f>
        <v>5.5094786729857806E-2</v>
      </c>
      <c r="G75" s="40"/>
      <c r="H75" s="16"/>
      <c r="I75" s="16"/>
      <c r="J75" s="9"/>
      <c r="K75" s="9"/>
      <c r="L75" s="16"/>
    </row>
    <row r="76" spans="1:12">
      <c r="A76" s="1"/>
      <c r="B76" s="7"/>
      <c r="C76" s="7"/>
      <c r="D76" s="16"/>
      <c r="E76" s="9"/>
      <c r="F76" s="16"/>
      <c r="G76" s="40"/>
      <c r="H76" s="16"/>
      <c r="I76" s="16"/>
      <c r="J76" s="9"/>
      <c r="K76" s="9"/>
      <c r="L76" s="16"/>
    </row>
    <row r="77" spans="1:12" ht="38.25">
      <c r="A77" s="2" t="s">
        <v>3563</v>
      </c>
      <c r="B77" s="12" t="s">
        <v>3564</v>
      </c>
      <c r="C77" s="31"/>
      <c r="D77" s="43"/>
      <c r="E77" s="44"/>
      <c r="F77" s="43"/>
      <c r="G77" s="23" t="s">
        <v>3983</v>
      </c>
      <c r="H77" s="43">
        <f>AVERAGE(F78:F80)</f>
        <v>4.7984644913627604E-2</v>
      </c>
      <c r="I77" s="43"/>
      <c r="J77" s="44"/>
      <c r="K77" s="44"/>
      <c r="L77" s="43"/>
    </row>
    <row r="78" spans="1:12">
      <c r="A78" s="1" t="s">
        <v>3565</v>
      </c>
      <c r="B78" s="7">
        <v>54.38</v>
      </c>
      <c r="C78" s="7">
        <v>56.74</v>
      </c>
      <c r="D78" s="16">
        <f>(C78-B78)/B78</f>
        <v>4.3398308201544673E-2</v>
      </c>
      <c r="E78" s="9">
        <v>57.31</v>
      </c>
      <c r="F78" s="16">
        <f>(C78-E78)/E78</f>
        <v>-9.9459082184610061E-3</v>
      </c>
      <c r="G78" s="40"/>
      <c r="H78" s="16"/>
      <c r="I78" s="16"/>
      <c r="J78" s="9"/>
      <c r="K78" s="9"/>
      <c r="L78" s="16"/>
    </row>
    <row r="79" spans="1:12">
      <c r="A79" s="1" t="s">
        <v>3566</v>
      </c>
      <c r="B79" s="7">
        <v>57.68</v>
      </c>
      <c r="C79" s="7">
        <v>60.04</v>
      </c>
      <c r="D79" s="16">
        <f>(C79-B79)/B79</f>
        <v>4.0915395284327312E-2</v>
      </c>
      <c r="E79" s="9">
        <v>57.31</v>
      </c>
      <c r="F79" s="16">
        <f>(C79-E79)/E79</f>
        <v>4.7635665677892111E-2</v>
      </c>
      <c r="G79" s="40"/>
      <c r="H79" s="16"/>
      <c r="I79" s="16"/>
      <c r="J79" s="9"/>
      <c r="K79" s="9"/>
      <c r="L79" s="16"/>
    </row>
    <row r="80" spans="1:12">
      <c r="A80" s="1" t="s">
        <v>3567</v>
      </c>
      <c r="B80" s="7">
        <v>61.04</v>
      </c>
      <c r="C80" s="7">
        <v>63.4</v>
      </c>
      <c r="D80" s="16">
        <f>(C80-B80)/B80</f>
        <v>3.8663171690694616E-2</v>
      </c>
      <c r="E80" s="9">
        <v>57.31</v>
      </c>
      <c r="F80" s="16">
        <f>(C80-E80)/E80</f>
        <v>0.10626417728145168</v>
      </c>
      <c r="G80" s="40"/>
      <c r="H80" s="16"/>
      <c r="I80" s="16"/>
      <c r="J80" s="9"/>
      <c r="K80" s="9"/>
      <c r="L80" s="16"/>
    </row>
    <row r="81" spans="1:12">
      <c r="A81" s="143"/>
      <c r="B81" s="143"/>
      <c r="C81" s="7"/>
      <c r="D81" s="16"/>
      <c r="E81" s="9"/>
      <c r="F81" s="16"/>
      <c r="G81" s="40"/>
      <c r="H81" s="16"/>
      <c r="I81" s="16"/>
      <c r="J81" s="9"/>
      <c r="K81" s="9"/>
      <c r="L81" s="16"/>
    </row>
    <row r="82" spans="1:12" ht="25.5" customHeight="1">
      <c r="A82" s="2" t="s">
        <v>3568</v>
      </c>
      <c r="B82" s="147" t="s">
        <v>3510</v>
      </c>
      <c r="C82" s="147" t="s">
        <v>3510</v>
      </c>
      <c r="D82" s="43"/>
      <c r="E82" s="44"/>
      <c r="F82" s="43"/>
      <c r="G82" s="23" t="s">
        <v>3983</v>
      </c>
      <c r="H82" s="43">
        <f>AVERAGE(F84:F97)</f>
        <v>1.8514291511324934E-3</v>
      </c>
      <c r="I82" s="43"/>
      <c r="J82" s="44"/>
      <c r="K82" s="44"/>
      <c r="L82" s="43"/>
    </row>
    <row r="83" spans="1:12">
      <c r="A83" s="3" t="s">
        <v>3569</v>
      </c>
      <c r="B83" s="147"/>
      <c r="C83" s="147"/>
      <c r="D83" s="16"/>
      <c r="E83" s="9"/>
      <c r="F83" s="16"/>
      <c r="G83" s="40"/>
      <c r="H83" s="16"/>
      <c r="I83" s="16"/>
      <c r="J83" s="9"/>
      <c r="K83" s="9"/>
      <c r="L83" s="16"/>
    </row>
    <row r="84" spans="1:12">
      <c r="A84" s="1" t="s">
        <v>3571</v>
      </c>
      <c r="B84" s="7">
        <v>25.66</v>
      </c>
      <c r="C84" s="7">
        <v>25.66</v>
      </c>
      <c r="D84" s="16">
        <f t="shared" ref="D84:D97" si="0">(C84-B84)/B84</f>
        <v>0</v>
      </c>
      <c r="E84" s="9">
        <v>30.33</v>
      </c>
      <c r="F84" s="16">
        <f t="shared" ref="F84:F97" si="1">(C84-E84)/E84</f>
        <v>-0.15397296406198477</v>
      </c>
      <c r="G84" s="40"/>
      <c r="H84" s="16"/>
      <c r="I84" s="16"/>
      <c r="J84" s="9"/>
      <c r="K84" s="9"/>
      <c r="L84" s="16"/>
    </row>
    <row r="85" spans="1:12">
      <c r="A85" s="1" t="s">
        <v>3572</v>
      </c>
      <c r="B85" s="7">
        <v>27.16</v>
      </c>
      <c r="C85" s="7">
        <v>27.16</v>
      </c>
      <c r="D85" s="16">
        <f t="shared" si="0"/>
        <v>0</v>
      </c>
      <c r="E85" s="9">
        <v>30.33</v>
      </c>
      <c r="F85" s="16">
        <f t="shared" si="1"/>
        <v>-0.10451697988789971</v>
      </c>
      <c r="G85" s="40"/>
      <c r="H85" s="16"/>
      <c r="I85" s="16"/>
      <c r="J85" s="9"/>
      <c r="K85" s="9"/>
      <c r="L85" s="16"/>
    </row>
    <row r="86" spans="1:12">
      <c r="A86" s="1" t="s">
        <v>3573</v>
      </c>
      <c r="B86" s="7">
        <v>30.82</v>
      </c>
      <c r="C86" s="7">
        <v>30.82</v>
      </c>
      <c r="D86" s="16">
        <f t="shared" si="0"/>
        <v>0</v>
      </c>
      <c r="E86" s="9">
        <v>30.33</v>
      </c>
      <c r="F86" s="16">
        <f t="shared" si="1"/>
        <v>1.6155621496867854E-2</v>
      </c>
      <c r="G86" s="40"/>
      <c r="H86" s="16"/>
      <c r="I86" s="16"/>
      <c r="J86" s="9"/>
      <c r="K86" s="9"/>
      <c r="L86" s="16"/>
    </row>
    <row r="87" spans="1:12">
      <c r="A87" s="1" t="s">
        <v>3574</v>
      </c>
      <c r="B87" s="7">
        <v>27.95</v>
      </c>
      <c r="C87" s="7">
        <v>27.95</v>
      </c>
      <c r="D87" s="16">
        <f t="shared" si="0"/>
        <v>0</v>
      </c>
      <c r="E87" s="9">
        <v>30.33</v>
      </c>
      <c r="F87" s="16">
        <f t="shared" si="1"/>
        <v>-7.8470161556214946E-2</v>
      </c>
      <c r="G87" s="40"/>
      <c r="H87" s="16"/>
      <c r="I87" s="16"/>
      <c r="J87" s="9"/>
      <c r="K87" s="9"/>
      <c r="L87" s="16"/>
    </row>
    <row r="88" spans="1:12">
      <c r="A88" s="1" t="s">
        <v>3575</v>
      </c>
      <c r="B88" s="7">
        <v>30.92</v>
      </c>
      <c r="C88" s="7">
        <v>30.92</v>
      </c>
      <c r="D88" s="16">
        <f t="shared" si="0"/>
        <v>0</v>
      </c>
      <c r="E88" s="9">
        <v>30.33</v>
      </c>
      <c r="F88" s="16">
        <f t="shared" si="1"/>
        <v>1.9452687108473574E-2</v>
      </c>
      <c r="G88" s="40"/>
      <c r="H88" s="16"/>
      <c r="I88" s="16"/>
      <c r="J88" s="9"/>
      <c r="K88" s="9"/>
      <c r="L88" s="16"/>
    </row>
    <row r="89" spans="1:12">
      <c r="A89" s="1" t="s">
        <v>3576</v>
      </c>
      <c r="B89" s="7">
        <v>31.07</v>
      </c>
      <c r="C89" s="7">
        <v>31.07</v>
      </c>
      <c r="D89" s="16">
        <f t="shared" si="0"/>
        <v>0</v>
      </c>
      <c r="E89" s="9">
        <v>30.33</v>
      </c>
      <c r="F89" s="16">
        <f t="shared" si="1"/>
        <v>2.4398285525882031E-2</v>
      </c>
      <c r="G89" s="40"/>
      <c r="H89" s="16"/>
      <c r="I89" s="16"/>
      <c r="J89" s="9"/>
      <c r="K89" s="9"/>
      <c r="L89" s="16"/>
    </row>
    <row r="90" spans="1:12">
      <c r="A90" s="1" t="s">
        <v>3577</v>
      </c>
      <c r="B90" s="7">
        <v>31.32</v>
      </c>
      <c r="C90" s="7">
        <v>31.32</v>
      </c>
      <c r="D90" s="16">
        <f t="shared" si="0"/>
        <v>0</v>
      </c>
      <c r="E90" s="9">
        <v>30.33</v>
      </c>
      <c r="F90" s="16">
        <f t="shared" si="1"/>
        <v>3.2640949554896208E-2</v>
      </c>
      <c r="G90" s="40"/>
      <c r="H90" s="16"/>
      <c r="I90" s="16"/>
      <c r="J90" s="9"/>
      <c r="K90" s="9"/>
      <c r="L90" s="16"/>
    </row>
    <row r="91" spans="1:12">
      <c r="A91" s="1" t="s">
        <v>3578</v>
      </c>
      <c r="B91" s="7">
        <v>32.57</v>
      </c>
      <c r="C91" s="7">
        <v>32.57</v>
      </c>
      <c r="D91" s="16">
        <f t="shared" si="0"/>
        <v>0</v>
      </c>
      <c r="E91" s="9">
        <v>30.33</v>
      </c>
      <c r="F91" s="16">
        <f t="shared" si="1"/>
        <v>7.3854269699967098E-2</v>
      </c>
      <c r="G91" s="40"/>
      <c r="H91" s="16"/>
      <c r="I91" s="16"/>
      <c r="J91" s="9"/>
      <c r="K91" s="9"/>
      <c r="L91" s="16"/>
    </row>
    <row r="92" spans="1:12">
      <c r="A92" s="1" t="s">
        <v>3579</v>
      </c>
      <c r="B92" s="7">
        <v>31.62</v>
      </c>
      <c r="C92" s="7">
        <v>31.62</v>
      </c>
      <c r="D92" s="16">
        <f t="shared" si="0"/>
        <v>0</v>
      </c>
      <c r="E92" s="9">
        <v>30.33</v>
      </c>
      <c r="F92" s="16">
        <f t="shared" si="1"/>
        <v>4.2532146389713248E-2</v>
      </c>
      <c r="G92" s="40"/>
      <c r="H92" s="16"/>
      <c r="I92" s="16"/>
      <c r="J92" s="9"/>
      <c r="K92" s="9"/>
      <c r="L92" s="16"/>
    </row>
    <row r="93" spans="1:12">
      <c r="A93" s="1" t="s">
        <v>3580</v>
      </c>
      <c r="B93" s="7"/>
      <c r="C93" s="7"/>
      <c r="D93" s="16"/>
      <c r="E93" s="9"/>
      <c r="F93" s="16"/>
      <c r="G93" s="40"/>
      <c r="H93" s="16"/>
      <c r="I93" s="16"/>
      <c r="J93" s="9"/>
      <c r="K93" s="9"/>
      <c r="L93" s="16"/>
    </row>
    <row r="94" spans="1:12">
      <c r="A94" s="1" t="s">
        <v>3581</v>
      </c>
      <c r="B94" s="7">
        <v>31.62</v>
      </c>
      <c r="C94" s="7">
        <v>31.62</v>
      </c>
      <c r="D94" s="16">
        <f t="shared" si="0"/>
        <v>0</v>
      </c>
      <c r="E94" s="9">
        <v>30.33</v>
      </c>
      <c r="F94" s="16">
        <f t="shared" si="1"/>
        <v>4.2532146389713248E-2</v>
      </c>
      <c r="G94" s="40"/>
      <c r="H94" s="16"/>
      <c r="I94" s="16"/>
      <c r="J94" s="9"/>
      <c r="K94" s="9"/>
      <c r="L94" s="16"/>
    </row>
    <row r="95" spans="1:12">
      <c r="A95" s="1" t="s">
        <v>3582</v>
      </c>
      <c r="B95" s="7">
        <v>31.32</v>
      </c>
      <c r="C95" s="7">
        <v>31.32</v>
      </c>
      <c r="D95" s="16">
        <f t="shared" si="0"/>
        <v>0</v>
      </c>
      <c r="E95" s="9">
        <v>30.33</v>
      </c>
      <c r="F95" s="16">
        <f t="shared" si="1"/>
        <v>3.2640949554896208E-2</v>
      </c>
      <c r="G95" s="40"/>
      <c r="H95" s="16"/>
      <c r="I95" s="16"/>
      <c r="J95" s="9"/>
      <c r="K95" s="9"/>
      <c r="L95" s="16"/>
    </row>
    <row r="96" spans="1:12">
      <c r="A96" s="1" t="s">
        <v>3583</v>
      </c>
      <c r="B96" s="7">
        <v>30.97</v>
      </c>
      <c r="C96" s="7">
        <v>30.97</v>
      </c>
      <c r="D96" s="16">
        <f t="shared" si="0"/>
        <v>0</v>
      </c>
      <c r="E96" s="9">
        <v>30.33</v>
      </c>
      <c r="F96" s="16">
        <f t="shared" si="1"/>
        <v>2.1101219914276315E-2</v>
      </c>
      <c r="G96" s="40"/>
      <c r="H96" s="16"/>
      <c r="I96" s="16"/>
      <c r="J96" s="9"/>
      <c r="K96" s="9"/>
      <c r="L96" s="16"/>
    </row>
    <row r="97" spans="1:12">
      <c r="A97" s="1" t="s">
        <v>3584</v>
      </c>
      <c r="B97" s="7">
        <v>32.020000000000003</v>
      </c>
      <c r="C97" s="7">
        <v>32.020000000000003</v>
      </c>
      <c r="D97" s="16">
        <f t="shared" si="0"/>
        <v>0</v>
      </c>
      <c r="E97" s="9">
        <v>30.33</v>
      </c>
      <c r="F97" s="16">
        <f t="shared" si="1"/>
        <v>5.5720408836136E-2</v>
      </c>
      <c r="G97" s="40"/>
      <c r="H97" s="16"/>
      <c r="I97" s="16"/>
      <c r="J97" s="9"/>
      <c r="K97" s="9"/>
      <c r="L97" s="16"/>
    </row>
    <row r="98" spans="1:12">
      <c r="A98" s="143"/>
      <c r="B98" s="143"/>
      <c r="C98" s="7"/>
      <c r="D98" s="16"/>
      <c r="E98" s="9"/>
      <c r="F98" s="16"/>
      <c r="G98" s="40"/>
      <c r="H98" s="16"/>
      <c r="I98" s="16"/>
      <c r="J98" s="9"/>
      <c r="K98" s="9"/>
      <c r="L98" s="16"/>
    </row>
    <row r="99" spans="1:12" ht="38.25">
      <c r="A99" s="2" t="s">
        <v>3930</v>
      </c>
      <c r="B99" s="12" t="s">
        <v>3689</v>
      </c>
      <c r="C99" s="31" t="s">
        <v>4006</v>
      </c>
      <c r="D99" s="43"/>
      <c r="E99" s="44"/>
      <c r="F99" s="43"/>
      <c r="G99" s="23" t="s">
        <v>3983</v>
      </c>
      <c r="H99" s="43">
        <f>AVERAGE(F100:F102)</f>
        <v>-7.6331395690213549E-4</v>
      </c>
      <c r="I99" s="43"/>
      <c r="J99" s="44"/>
      <c r="K99" s="44"/>
      <c r="L99" s="43"/>
    </row>
    <row r="100" spans="1:12">
      <c r="A100" s="1" t="s">
        <v>3587</v>
      </c>
      <c r="B100" s="7">
        <v>57.06</v>
      </c>
      <c r="C100" s="7">
        <v>54.56</v>
      </c>
      <c r="D100" s="16">
        <f>(C100-B100)/B100</f>
        <v>-4.3813529617946018E-2</v>
      </c>
      <c r="E100" s="9">
        <v>56.77</v>
      </c>
      <c r="F100" s="16">
        <f>(C100-E100)/E100</f>
        <v>-3.8929011802008119E-2</v>
      </c>
      <c r="G100" s="40"/>
      <c r="H100" s="16"/>
      <c r="I100" s="16"/>
      <c r="J100" s="9"/>
      <c r="K100" s="9"/>
      <c r="L100" s="16"/>
    </row>
    <row r="101" spans="1:12">
      <c r="A101" s="1" t="s">
        <v>3588</v>
      </c>
      <c r="B101" s="7">
        <v>59.56</v>
      </c>
      <c r="C101" s="7">
        <v>57.06</v>
      </c>
      <c r="D101" s="16">
        <f>(C101-B101)/B101</f>
        <v>-4.1974479516453993E-2</v>
      </c>
      <c r="E101" s="9">
        <v>56.77</v>
      </c>
      <c r="F101" s="16">
        <f>(C101-E101)/E101</f>
        <v>5.1083318654218625E-3</v>
      </c>
      <c r="G101" s="40"/>
      <c r="H101" s="16"/>
      <c r="I101" s="16"/>
      <c r="J101" s="9"/>
      <c r="K101" s="9"/>
      <c r="L101" s="16"/>
    </row>
    <row r="102" spans="1:12">
      <c r="A102" s="1" t="s">
        <v>3589</v>
      </c>
      <c r="B102" s="7">
        <v>61.06</v>
      </c>
      <c r="C102" s="7">
        <v>58.56</v>
      </c>
      <c r="D102" s="16">
        <f>(C102-B102)/B102</f>
        <v>-4.0943334425155582E-2</v>
      </c>
      <c r="E102" s="9">
        <v>56.77</v>
      </c>
      <c r="F102" s="16">
        <f>(C102-E102)/E102</f>
        <v>3.1530738065879853E-2</v>
      </c>
      <c r="G102" s="40"/>
      <c r="H102" s="16"/>
      <c r="I102" s="16"/>
      <c r="J102" s="9"/>
      <c r="K102" s="9"/>
      <c r="L102" s="16"/>
    </row>
    <row r="103" spans="1:12">
      <c r="A103" s="143"/>
      <c r="B103" s="143"/>
      <c r="C103" s="7"/>
      <c r="D103" s="16"/>
      <c r="E103" s="9"/>
      <c r="F103" s="16"/>
      <c r="G103" s="40"/>
      <c r="H103" s="16"/>
      <c r="I103" s="16"/>
      <c r="J103" s="9"/>
      <c r="K103" s="9"/>
      <c r="L103" s="16"/>
    </row>
    <row r="104" spans="1:12">
      <c r="A104" s="2" t="s">
        <v>3925</v>
      </c>
      <c r="B104" s="7"/>
      <c r="C104" s="31"/>
      <c r="D104" s="43"/>
      <c r="E104" s="44"/>
      <c r="F104" s="43"/>
      <c r="G104" s="23" t="s">
        <v>3984</v>
      </c>
      <c r="H104" s="43"/>
      <c r="I104" s="43">
        <f>AVERAGE(F105:F108)</f>
        <v>0.19175491679273829</v>
      </c>
      <c r="J104" s="44"/>
      <c r="K104" s="44"/>
      <c r="L104" s="43"/>
    </row>
    <row r="105" spans="1:12">
      <c r="A105" s="1" t="s">
        <v>3786</v>
      </c>
      <c r="B105" s="7">
        <v>49.7</v>
      </c>
      <c r="C105" s="7">
        <v>31.51</v>
      </c>
      <c r="D105" s="16">
        <f>(C105-B105)/B105</f>
        <v>-0.36599597585513077</v>
      </c>
      <c r="E105" s="9">
        <v>26.44</v>
      </c>
      <c r="F105" s="16">
        <f>(C105-E105)/E105</f>
        <v>0.19175491679273829</v>
      </c>
      <c r="G105" s="40"/>
      <c r="H105" s="16"/>
      <c r="I105" s="16"/>
      <c r="J105" s="9"/>
      <c r="K105" s="9"/>
      <c r="L105" s="16"/>
    </row>
    <row r="106" spans="1:12">
      <c r="A106" s="1" t="s">
        <v>3787</v>
      </c>
      <c r="B106" s="7">
        <v>50.7</v>
      </c>
      <c r="C106" s="7">
        <v>31.51</v>
      </c>
      <c r="D106" s="16">
        <f>(C106-B106)/B106</f>
        <v>-0.37850098619329386</v>
      </c>
      <c r="E106" s="9">
        <v>26.44</v>
      </c>
      <c r="F106" s="16">
        <f>(C106-E106)/E106</f>
        <v>0.19175491679273829</v>
      </c>
      <c r="G106" s="40"/>
      <c r="H106" s="16"/>
      <c r="I106" s="16"/>
      <c r="J106" s="9"/>
      <c r="K106" s="9"/>
      <c r="L106" s="16"/>
    </row>
    <row r="107" spans="1:12">
      <c r="A107" s="1" t="s">
        <v>3788</v>
      </c>
      <c r="B107" s="7">
        <v>53.01</v>
      </c>
      <c r="C107" s="7">
        <v>31.51</v>
      </c>
      <c r="D107" s="16">
        <f>(C107-B107)/B107</f>
        <v>-0.40558385210337666</v>
      </c>
      <c r="E107" s="9">
        <v>26.44</v>
      </c>
      <c r="F107" s="16">
        <f>(C107-E107)/E107</f>
        <v>0.19175491679273829</v>
      </c>
      <c r="G107" s="40"/>
      <c r="H107" s="16"/>
      <c r="I107" s="16"/>
      <c r="J107" s="9"/>
      <c r="K107" s="9"/>
      <c r="L107" s="16"/>
    </row>
    <row r="108" spans="1:12">
      <c r="A108" s="1" t="s">
        <v>3789</v>
      </c>
      <c r="B108" s="7">
        <v>56.65</v>
      </c>
      <c r="C108" s="7">
        <v>31.51</v>
      </c>
      <c r="D108" s="16">
        <f>(C108-B108)/B108</f>
        <v>-0.44377758164165926</v>
      </c>
      <c r="E108" s="9">
        <v>26.44</v>
      </c>
      <c r="F108" s="16">
        <f>(C108-E108)/E108</f>
        <v>0.19175491679273829</v>
      </c>
      <c r="G108" s="40"/>
      <c r="H108" s="16"/>
      <c r="I108" s="16"/>
      <c r="J108" s="9"/>
      <c r="K108" s="9"/>
      <c r="L108" s="16"/>
    </row>
    <row r="109" spans="1:12">
      <c r="A109" s="143"/>
      <c r="B109" s="143"/>
      <c r="C109" s="7"/>
      <c r="D109" s="16"/>
      <c r="E109" s="9"/>
      <c r="F109" s="16"/>
      <c r="G109" s="40"/>
      <c r="H109" s="16"/>
      <c r="I109" s="16"/>
      <c r="J109" s="9"/>
      <c r="K109" s="9"/>
      <c r="L109" s="16"/>
    </row>
    <row r="110" spans="1:12" ht="25.5" customHeight="1">
      <c r="A110" s="2" t="s">
        <v>3592</v>
      </c>
      <c r="B110" s="147" t="s">
        <v>3912</v>
      </c>
      <c r="C110" s="147" t="s">
        <v>3912</v>
      </c>
      <c r="D110" s="43"/>
      <c r="E110" s="44"/>
      <c r="F110" s="43"/>
      <c r="G110" s="23" t="s">
        <v>3983</v>
      </c>
      <c r="H110" s="43">
        <f>AVERAGE(F112:F163)</f>
        <v>8.8519591401128209E-2</v>
      </c>
      <c r="I110" s="43"/>
      <c r="J110" s="44"/>
      <c r="K110" s="44"/>
      <c r="L110" s="43"/>
    </row>
    <row r="111" spans="1:12">
      <c r="A111" s="3" t="s">
        <v>3569</v>
      </c>
      <c r="B111" s="147"/>
      <c r="C111" s="147"/>
      <c r="D111" s="16"/>
      <c r="E111" s="9"/>
      <c r="F111" s="16"/>
      <c r="G111" s="40"/>
      <c r="H111" s="16"/>
      <c r="I111" s="16"/>
      <c r="J111" s="9"/>
      <c r="K111" s="9"/>
      <c r="L111" s="16"/>
    </row>
    <row r="112" spans="1:12">
      <c r="A112" s="1" t="s">
        <v>3573</v>
      </c>
      <c r="B112" s="7">
        <v>41.33</v>
      </c>
      <c r="C112" s="7">
        <v>43.08</v>
      </c>
      <c r="D112" s="16">
        <f t="shared" ref="D112:D127" si="2">(C112-B112)/B112</f>
        <v>4.2342124364868138E-2</v>
      </c>
      <c r="E112" s="9">
        <v>46.85</v>
      </c>
      <c r="F112" s="16">
        <f t="shared" ref="F112:F127" si="3">(C112-E112)/E112</f>
        <v>-8.0469583778015011E-2</v>
      </c>
      <c r="G112" s="40"/>
      <c r="H112" s="16"/>
      <c r="I112" s="16"/>
      <c r="J112" s="9"/>
      <c r="K112" s="9"/>
      <c r="L112" s="16"/>
    </row>
    <row r="113" spans="1:12">
      <c r="A113" s="1" t="s">
        <v>3574</v>
      </c>
      <c r="B113" s="7">
        <v>44.09</v>
      </c>
      <c r="C113" s="7">
        <v>45.84</v>
      </c>
      <c r="D113" s="16">
        <f t="shared" si="2"/>
        <v>3.9691540031753229E-2</v>
      </c>
      <c r="E113" s="9">
        <v>46.85</v>
      </c>
      <c r="F113" s="16">
        <f t="shared" si="3"/>
        <v>-2.1558164354322264E-2</v>
      </c>
      <c r="G113" s="40"/>
      <c r="H113" s="16"/>
      <c r="I113" s="16"/>
      <c r="J113" s="9"/>
      <c r="K113" s="9"/>
      <c r="L113" s="16"/>
    </row>
    <row r="114" spans="1:12">
      <c r="A114" s="1" t="s">
        <v>3575</v>
      </c>
      <c r="B114" s="7">
        <v>44.62</v>
      </c>
      <c r="C114" s="7">
        <v>46.37</v>
      </c>
      <c r="D114" s="16">
        <f t="shared" si="2"/>
        <v>3.9220080681308833E-2</v>
      </c>
      <c r="E114" s="9">
        <v>46.85</v>
      </c>
      <c r="F114" s="16">
        <f t="shared" si="3"/>
        <v>-1.0245464247598804E-2</v>
      </c>
      <c r="G114" s="40"/>
      <c r="H114" s="16"/>
      <c r="I114" s="16"/>
      <c r="J114" s="9"/>
      <c r="K114" s="9"/>
      <c r="L114" s="16"/>
    </row>
    <row r="115" spans="1:12">
      <c r="A115" s="1" t="s">
        <v>3576</v>
      </c>
      <c r="B115" s="7">
        <v>44.89</v>
      </c>
      <c r="C115" s="7">
        <v>46.64</v>
      </c>
      <c r="D115" s="16">
        <f t="shared" si="2"/>
        <v>3.8984183559812875E-2</v>
      </c>
      <c r="E115" s="9">
        <v>46.85</v>
      </c>
      <c r="F115" s="16">
        <f t="shared" si="3"/>
        <v>-4.4823906083244578E-3</v>
      </c>
      <c r="G115" s="40"/>
      <c r="H115" s="16"/>
      <c r="I115" s="16"/>
      <c r="J115" s="9"/>
      <c r="K115" s="9"/>
      <c r="L115" s="16"/>
    </row>
    <row r="116" spans="1:12">
      <c r="A116" s="1" t="s">
        <v>3577</v>
      </c>
      <c r="B116" s="7">
        <v>45.63</v>
      </c>
      <c r="C116" s="7">
        <v>47.38</v>
      </c>
      <c r="D116" s="16">
        <f t="shared" si="2"/>
        <v>3.8351961428884501E-2</v>
      </c>
      <c r="E116" s="9">
        <v>46.85</v>
      </c>
      <c r="F116" s="16">
        <f t="shared" si="3"/>
        <v>1.1312700106723609E-2</v>
      </c>
      <c r="G116" s="40"/>
      <c r="H116" s="16"/>
      <c r="I116" s="16"/>
      <c r="J116" s="9"/>
      <c r="K116" s="9"/>
      <c r="L116" s="16"/>
    </row>
    <row r="117" spans="1:12">
      <c r="A117" s="1" t="s">
        <v>3579</v>
      </c>
      <c r="B117" s="7">
        <v>45.93</v>
      </c>
      <c r="C117" s="7">
        <v>47.68</v>
      </c>
      <c r="D117" s="16">
        <f t="shared" si="2"/>
        <v>3.8101458741563246E-2</v>
      </c>
      <c r="E117" s="9">
        <v>46.85</v>
      </c>
      <c r="F117" s="16">
        <f t="shared" si="3"/>
        <v>1.7716115261472747E-2</v>
      </c>
      <c r="G117" s="40"/>
      <c r="H117" s="16"/>
      <c r="I117" s="16"/>
      <c r="J117" s="9"/>
      <c r="K117" s="9"/>
      <c r="L117" s="16"/>
    </row>
    <row r="118" spans="1:12">
      <c r="A118" s="1" t="s">
        <v>3580</v>
      </c>
      <c r="B118" s="7">
        <v>46.1</v>
      </c>
      <c r="C118" s="7">
        <v>47.85</v>
      </c>
      <c r="D118" s="16">
        <f t="shared" si="2"/>
        <v>3.7960954446854663E-2</v>
      </c>
      <c r="E118" s="9">
        <v>46.85</v>
      </c>
      <c r="F118" s="16">
        <f t="shared" si="3"/>
        <v>2.1344717182497332E-2</v>
      </c>
      <c r="G118" s="40"/>
      <c r="H118" s="16"/>
      <c r="I118" s="16"/>
      <c r="J118" s="9"/>
      <c r="K118" s="9"/>
      <c r="L118" s="16"/>
    </row>
    <row r="119" spans="1:12">
      <c r="A119" s="1" t="s">
        <v>3593</v>
      </c>
      <c r="B119" s="7">
        <v>46.35</v>
      </c>
      <c r="C119" s="7">
        <v>48.1</v>
      </c>
      <c r="D119" s="16">
        <f t="shared" si="2"/>
        <v>3.7756202804746494E-2</v>
      </c>
      <c r="E119" s="9">
        <v>46.85</v>
      </c>
      <c r="F119" s="16">
        <f t="shared" si="3"/>
        <v>2.6680896478121663E-2</v>
      </c>
      <c r="G119" s="40"/>
      <c r="H119" s="16"/>
      <c r="I119" s="16"/>
      <c r="J119" s="9"/>
      <c r="K119" s="9"/>
      <c r="L119" s="16"/>
    </row>
    <row r="120" spans="1:12">
      <c r="A120" s="1" t="s">
        <v>3594</v>
      </c>
      <c r="B120" s="7">
        <v>46.94</v>
      </c>
      <c r="C120" s="7">
        <v>48.69</v>
      </c>
      <c r="D120" s="16">
        <f t="shared" si="2"/>
        <v>3.7281636131231359E-2</v>
      </c>
      <c r="E120" s="9">
        <v>46.85</v>
      </c>
      <c r="F120" s="16">
        <f t="shared" si="3"/>
        <v>3.9274279615795007E-2</v>
      </c>
      <c r="G120" s="40"/>
      <c r="H120" s="16"/>
      <c r="I120" s="16"/>
      <c r="J120" s="9"/>
      <c r="K120" s="9"/>
      <c r="L120" s="16"/>
    </row>
    <row r="121" spans="1:12">
      <c r="A121" s="1" t="s">
        <v>3595</v>
      </c>
      <c r="B121" s="7">
        <v>47.26</v>
      </c>
      <c r="C121" s="7">
        <v>49.01</v>
      </c>
      <c r="D121" s="16">
        <f t="shared" si="2"/>
        <v>3.7029200169276348E-2</v>
      </c>
      <c r="E121" s="9">
        <v>46.85</v>
      </c>
      <c r="F121" s="16">
        <f t="shared" si="3"/>
        <v>4.6104589114194162E-2</v>
      </c>
      <c r="G121" s="40"/>
      <c r="H121" s="16"/>
      <c r="I121" s="16"/>
      <c r="J121" s="9"/>
      <c r="K121" s="9"/>
      <c r="L121" s="16"/>
    </row>
    <row r="122" spans="1:12">
      <c r="A122" s="1" t="s">
        <v>3596</v>
      </c>
      <c r="B122" s="7">
        <v>47.61</v>
      </c>
      <c r="C122" s="7">
        <v>49.36</v>
      </c>
      <c r="D122" s="16">
        <f t="shared" si="2"/>
        <v>3.6756983826927117E-2</v>
      </c>
      <c r="E122" s="9">
        <v>46.85</v>
      </c>
      <c r="F122" s="16">
        <f t="shared" si="3"/>
        <v>5.3575240128068261E-2</v>
      </c>
      <c r="G122" s="40"/>
      <c r="H122" s="16"/>
      <c r="I122" s="16"/>
      <c r="J122" s="9"/>
      <c r="K122" s="9"/>
      <c r="L122" s="16"/>
    </row>
    <row r="123" spans="1:12">
      <c r="A123" s="1" t="s">
        <v>3597</v>
      </c>
      <c r="B123" s="7">
        <v>47.8</v>
      </c>
      <c r="C123" s="7">
        <v>49.55</v>
      </c>
      <c r="D123" s="16">
        <f t="shared" si="2"/>
        <v>3.6610878661087871E-2</v>
      </c>
      <c r="E123" s="9">
        <v>46.85</v>
      </c>
      <c r="F123" s="16">
        <f t="shared" si="3"/>
        <v>5.7630736392742701E-2</v>
      </c>
      <c r="G123" s="40"/>
      <c r="H123" s="16"/>
      <c r="I123" s="16"/>
      <c r="J123" s="9"/>
      <c r="K123" s="9"/>
      <c r="L123" s="16"/>
    </row>
    <row r="124" spans="1:12">
      <c r="A124" s="1" t="s">
        <v>3598</v>
      </c>
      <c r="B124" s="7">
        <v>48.04</v>
      </c>
      <c r="C124" s="7">
        <v>49.79</v>
      </c>
      <c r="D124" s="16">
        <f t="shared" si="2"/>
        <v>3.6427976686094925E-2</v>
      </c>
      <c r="E124" s="9">
        <v>46.85</v>
      </c>
      <c r="F124" s="16">
        <f t="shared" si="3"/>
        <v>6.2753468516542107E-2</v>
      </c>
      <c r="G124" s="40"/>
      <c r="H124" s="16"/>
      <c r="I124" s="16"/>
      <c r="J124" s="9"/>
      <c r="K124" s="9"/>
      <c r="L124" s="16"/>
    </row>
    <row r="125" spans="1:12">
      <c r="A125" s="1" t="s">
        <v>3599</v>
      </c>
      <c r="B125" s="7">
        <v>49.68</v>
      </c>
      <c r="C125" s="7">
        <v>51.43</v>
      </c>
      <c r="D125" s="16">
        <f t="shared" si="2"/>
        <v>3.5225442834138483E-2</v>
      </c>
      <c r="E125" s="9">
        <v>46.85</v>
      </c>
      <c r="F125" s="16">
        <f t="shared" si="3"/>
        <v>9.7758804695837739E-2</v>
      </c>
      <c r="G125" s="40"/>
      <c r="H125" s="16"/>
      <c r="I125" s="16"/>
      <c r="J125" s="9"/>
      <c r="K125" s="9"/>
      <c r="L125" s="16"/>
    </row>
    <row r="126" spans="1:12">
      <c r="A126" s="1" t="s">
        <v>3600</v>
      </c>
      <c r="B126" s="7">
        <v>50.49</v>
      </c>
      <c r="C126" s="7">
        <v>52.24</v>
      </c>
      <c r="D126" s="16">
        <f t="shared" si="2"/>
        <v>3.4660328777975834E-2</v>
      </c>
      <c r="E126" s="9">
        <v>46.85</v>
      </c>
      <c r="F126" s="16">
        <f t="shared" si="3"/>
        <v>0.11504802561366063</v>
      </c>
      <c r="G126" s="40"/>
      <c r="H126" s="16"/>
      <c r="I126" s="16"/>
      <c r="J126" s="9"/>
      <c r="K126" s="9"/>
      <c r="L126" s="16"/>
    </row>
    <row r="127" spans="1:12">
      <c r="A127" s="1" t="s">
        <v>3601</v>
      </c>
      <c r="B127" s="7">
        <v>49.68</v>
      </c>
      <c r="C127" s="7">
        <v>51.43</v>
      </c>
      <c r="D127" s="16">
        <f t="shared" si="2"/>
        <v>3.5225442834138483E-2</v>
      </c>
      <c r="E127" s="9">
        <v>46.85</v>
      </c>
      <c r="F127" s="16">
        <f t="shared" si="3"/>
        <v>9.7758804695837739E-2</v>
      </c>
      <c r="G127" s="40"/>
      <c r="H127" s="16"/>
      <c r="I127" s="16"/>
      <c r="J127" s="9"/>
      <c r="K127" s="9"/>
      <c r="L127" s="16"/>
    </row>
    <row r="128" spans="1:12">
      <c r="A128" s="1" t="s">
        <v>3602</v>
      </c>
      <c r="B128" s="11" t="s">
        <v>3534</v>
      </c>
      <c r="C128" s="11" t="s">
        <v>3534</v>
      </c>
      <c r="D128" s="16"/>
      <c r="E128" s="9"/>
      <c r="F128" s="16"/>
      <c r="G128" s="40"/>
      <c r="H128" s="16"/>
      <c r="I128" s="16"/>
      <c r="J128" s="9"/>
      <c r="K128" s="9"/>
      <c r="L128" s="16"/>
    </row>
    <row r="129" spans="1:12">
      <c r="A129" s="1" t="s">
        <v>3603</v>
      </c>
      <c r="B129" s="11" t="s">
        <v>3534</v>
      </c>
      <c r="C129" s="11" t="s">
        <v>3534</v>
      </c>
      <c r="D129" s="16"/>
      <c r="E129" s="9"/>
      <c r="F129" s="16"/>
      <c r="G129" s="40"/>
      <c r="H129" s="16"/>
      <c r="I129" s="16"/>
      <c r="J129" s="9"/>
      <c r="K129" s="9"/>
      <c r="L129" s="16"/>
    </row>
    <row r="130" spans="1:12">
      <c r="A130" s="143"/>
      <c r="B130" s="143"/>
      <c r="C130" s="7"/>
      <c r="D130" s="16"/>
      <c r="E130" s="9"/>
      <c r="F130" s="16"/>
      <c r="G130" s="40"/>
      <c r="H130" s="16"/>
      <c r="I130" s="16"/>
      <c r="J130" s="9"/>
      <c r="K130" s="9"/>
      <c r="L130" s="16"/>
    </row>
    <row r="131" spans="1:12" ht="25.5" customHeight="1">
      <c r="A131" s="2" t="s">
        <v>3604</v>
      </c>
      <c r="B131" s="147" t="s">
        <v>3510</v>
      </c>
      <c r="C131" s="147" t="s">
        <v>3510</v>
      </c>
      <c r="D131" s="43"/>
      <c r="E131" s="44"/>
      <c r="F131" s="43"/>
      <c r="G131" s="23"/>
      <c r="H131" s="43"/>
      <c r="I131" s="43"/>
      <c r="J131" s="44"/>
      <c r="K131" s="44"/>
      <c r="L131" s="43"/>
    </row>
    <row r="132" spans="1:12">
      <c r="A132" s="3" t="s">
        <v>3569</v>
      </c>
      <c r="B132" s="147"/>
      <c r="C132" s="147"/>
      <c r="D132" s="16"/>
      <c r="E132" s="9"/>
      <c r="F132" s="16"/>
      <c r="G132" s="40"/>
      <c r="H132" s="16"/>
      <c r="I132" s="16"/>
      <c r="J132" s="9"/>
      <c r="K132" s="9"/>
      <c r="L132" s="16"/>
    </row>
    <row r="133" spans="1:12">
      <c r="A133" s="1" t="s">
        <v>3573</v>
      </c>
      <c r="B133" s="7">
        <v>56.63</v>
      </c>
      <c r="C133" s="7">
        <v>58.38</v>
      </c>
      <c r="D133" s="16">
        <f t="shared" ref="D133:D144" si="4">(C133-B133)/B133</f>
        <v>3.0902348578491962E-2</v>
      </c>
      <c r="E133" s="9">
        <v>46.85</v>
      </c>
      <c r="F133" s="16">
        <f t="shared" ref="F133:F144" si="5">(C133-E133)/E133</f>
        <v>0.24610458911419425</v>
      </c>
      <c r="G133" s="40"/>
      <c r="H133" s="16"/>
      <c r="I133" s="16"/>
      <c r="J133" s="9"/>
      <c r="K133" s="9"/>
      <c r="L133" s="16"/>
    </row>
    <row r="134" spans="1:12">
      <c r="A134" s="1" t="s">
        <v>3605</v>
      </c>
      <c r="B134" s="7">
        <v>50.46</v>
      </c>
      <c r="C134" s="7">
        <v>52.21</v>
      </c>
      <c r="D134" s="16">
        <f t="shared" si="4"/>
        <v>3.4680935394371781E-2</v>
      </c>
      <c r="E134" s="9">
        <v>46.85</v>
      </c>
      <c r="F134" s="16">
        <f t="shared" si="5"/>
        <v>0.11440768409818568</v>
      </c>
      <c r="G134" s="40"/>
      <c r="H134" s="16"/>
      <c r="I134" s="16"/>
      <c r="J134" s="9"/>
      <c r="K134" s="9"/>
      <c r="L134" s="16"/>
    </row>
    <row r="135" spans="1:12">
      <c r="A135" s="1" t="s">
        <v>3606</v>
      </c>
      <c r="B135" s="7">
        <v>48.5</v>
      </c>
      <c r="C135" s="7">
        <v>50.25</v>
      </c>
      <c r="D135" s="16">
        <f t="shared" si="4"/>
        <v>3.608247422680412E-2</v>
      </c>
      <c r="E135" s="9">
        <v>46.85</v>
      </c>
      <c r="F135" s="16">
        <f t="shared" si="5"/>
        <v>7.2572038420490897E-2</v>
      </c>
      <c r="G135" s="40"/>
      <c r="H135" s="16"/>
      <c r="I135" s="16"/>
      <c r="J135" s="9"/>
      <c r="K135" s="9"/>
      <c r="L135" s="16"/>
    </row>
    <row r="136" spans="1:12">
      <c r="A136" s="1" t="s">
        <v>3575</v>
      </c>
      <c r="B136" s="7">
        <v>55.12</v>
      </c>
      <c r="C136" s="7">
        <v>56.87</v>
      </c>
      <c r="D136" s="16">
        <f t="shared" si="4"/>
        <v>3.17489114658926E-2</v>
      </c>
      <c r="E136" s="9">
        <v>46.85</v>
      </c>
      <c r="F136" s="16">
        <f t="shared" si="5"/>
        <v>0.21387406616862317</v>
      </c>
      <c r="G136" s="40"/>
      <c r="H136" s="16"/>
      <c r="I136" s="16"/>
      <c r="J136" s="9"/>
      <c r="K136" s="9"/>
      <c r="L136" s="16"/>
    </row>
    <row r="137" spans="1:12">
      <c r="A137" s="1" t="s">
        <v>3607</v>
      </c>
      <c r="B137" s="7">
        <v>50.21</v>
      </c>
      <c r="C137" s="7">
        <v>51.96</v>
      </c>
      <c r="D137" s="16">
        <f t="shared" si="4"/>
        <v>3.4853614817765388E-2</v>
      </c>
      <c r="E137" s="9">
        <v>46.85</v>
      </c>
      <c r="F137" s="16">
        <f t="shared" si="5"/>
        <v>0.10907150480256135</v>
      </c>
      <c r="G137" s="40"/>
      <c r="H137" s="16"/>
      <c r="I137" s="16"/>
      <c r="J137" s="9"/>
      <c r="K137" s="9"/>
      <c r="L137" s="16"/>
    </row>
    <row r="138" spans="1:12">
      <c r="A138" s="1" t="s">
        <v>3608</v>
      </c>
      <c r="B138" s="7">
        <v>48.29</v>
      </c>
      <c r="C138" s="7">
        <v>50.04</v>
      </c>
      <c r="D138" s="16">
        <f t="shared" si="4"/>
        <v>3.6239387036653553E-2</v>
      </c>
      <c r="E138" s="9">
        <v>46.85</v>
      </c>
      <c r="F138" s="16">
        <f t="shared" si="5"/>
        <v>6.8089647812166434E-2</v>
      </c>
      <c r="G138" s="40"/>
      <c r="H138" s="16"/>
      <c r="I138" s="16"/>
      <c r="J138" s="9"/>
      <c r="K138" s="9"/>
      <c r="L138" s="16"/>
    </row>
    <row r="139" spans="1:12">
      <c r="A139" s="1" t="s">
        <v>3576</v>
      </c>
      <c r="B139" s="7">
        <v>53.88</v>
      </c>
      <c r="C139" s="7">
        <v>55.63</v>
      </c>
      <c r="D139" s="16">
        <f t="shared" si="4"/>
        <v>3.2479584261321456E-2</v>
      </c>
      <c r="E139" s="9">
        <v>46.85</v>
      </c>
      <c r="F139" s="16">
        <f t="shared" si="5"/>
        <v>0.1874066168623266</v>
      </c>
      <c r="G139" s="40"/>
      <c r="H139" s="16"/>
      <c r="I139" s="16"/>
      <c r="J139" s="9"/>
      <c r="K139" s="9"/>
      <c r="L139" s="16"/>
    </row>
    <row r="140" spans="1:12">
      <c r="A140" s="1" t="s">
        <v>3609</v>
      </c>
      <c r="B140" s="7">
        <v>49.99</v>
      </c>
      <c r="C140" s="7">
        <v>51.74</v>
      </c>
      <c r="D140" s="16">
        <f t="shared" si="4"/>
        <v>3.5007001400280055E-2</v>
      </c>
      <c r="E140" s="9">
        <v>46.85</v>
      </c>
      <c r="F140" s="16">
        <f t="shared" si="5"/>
        <v>0.10437566702241197</v>
      </c>
      <c r="G140" s="40"/>
      <c r="H140" s="16"/>
      <c r="I140" s="16"/>
      <c r="J140" s="9"/>
      <c r="K140" s="9"/>
      <c r="L140" s="16"/>
    </row>
    <row r="141" spans="1:12">
      <c r="A141" s="1" t="s">
        <v>3610</v>
      </c>
      <c r="B141" s="7">
        <v>48.07</v>
      </c>
      <c r="C141" s="7">
        <v>49.82</v>
      </c>
      <c r="D141" s="16">
        <f t="shared" si="4"/>
        <v>3.6405242354899107E-2</v>
      </c>
      <c r="E141" s="9">
        <v>46.85</v>
      </c>
      <c r="F141" s="16">
        <f t="shared" si="5"/>
        <v>6.3393810032017051E-2</v>
      </c>
      <c r="G141" s="40"/>
      <c r="H141" s="16"/>
      <c r="I141" s="16"/>
      <c r="J141" s="9"/>
      <c r="K141" s="9"/>
      <c r="L141" s="16"/>
    </row>
    <row r="142" spans="1:12">
      <c r="A142" s="1" t="s">
        <v>3611</v>
      </c>
      <c r="B142" s="7">
        <v>49.66</v>
      </c>
      <c r="C142" s="7">
        <v>51.41</v>
      </c>
      <c r="D142" s="16">
        <f t="shared" si="4"/>
        <v>3.5239629480467181E-2</v>
      </c>
      <c r="E142" s="9">
        <v>46.85</v>
      </c>
      <c r="F142" s="16">
        <f t="shared" si="5"/>
        <v>9.7331910352187731E-2</v>
      </c>
      <c r="G142" s="40"/>
      <c r="H142" s="16"/>
      <c r="I142" s="16"/>
      <c r="J142" s="9"/>
      <c r="K142" s="9"/>
      <c r="L142" s="16"/>
    </row>
    <row r="143" spans="1:12">
      <c r="A143" s="1" t="s">
        <v>3577</v>
      </c>
      <c r="B143" s="7">
        <v>52.15</v>
      </c>
      <c r="C143" s="7">
        <v>53.9</v>
      </c>
      <c r="D143" s="16">
        <f t="shared" si="4"/>
        <v>3.3557046979865772E-2</v>
      </c>
      <c r="E143" s="9">
        <v>46.85</v>
      </c>
      <c r="F143" s="16">
        <f t="shared" si="5"/>
        <v>0.15048025613660612</v>
      </c>
      <c r="G143" s="40"/>
      <c r="H143" s="16"/>
      <c r="I143" s="16"/>
      <c r="J143" s="9"/>
      <c r="K143" s="9"/>
      <c r="L143" s="16"/>
    </row>
    <row r="144" spans="1:12">
      <c r="A144" s="1" t="s">
        <v>3579</v>
      </c>
      <c r="B144" s="7">
        <v>51.05</v>
      </c>
      <c r="C144" s="7">
        <v>52.8</v>
      </c>
      <c r="D144" s="16">
        <f t="shared" si="4"/>
        <v>3.4280117531831543E-2</v>
      </c>
      <c r="E144" s="9">
        <v>46.85</v>
      </c>
      <c r="F144" s="16">
        <f t="shared" si="5"/>
        <v>0.12700106723585902</v>
      </c>
      <c r="G144" s="40"/>
      <c r="H144" s="16"/>
      <c r="I144" s="16"/>
      <c r="J144" s="9"/>
      <c r="K144" s="9"/>
      <c r="L144" s="16"/>
    </row>
    <row r="145" spans="1:12">
      <c r="A145" s="1" t="s">
        <v>3602</v>
      </c>
      <c r="B145" s="11" t="s">
        <v>3534</v>
      </c>
      <c r="C145" s="11" t="s">
        <v>3534</v>
      </c>
      <c r="D145" s="16"/>
      <c r="E145" s="9"/>
      <c r="F145" s="16"/>
      <c r="G145" s="40"/>
      <c r="H145" s="16"/>
      <c r="I145" s="16"/>
      <c r="J145" s="9"/>
      <c r="K145" s="9"/>
      <c r="L145" s="16"/>
    </row>
    <row r="146" spans="1:12">
      <c r="A146" s="1" t="s">
        <v>3612</v>
      </c>
      <c r="B146" s="7"/>
      <c r="C146" s="7"/>
      <c r="D146" s="16"/>
      <c r="E146" s="9"/>
      <c r="F146" s="16"/>
      <c r="G146" s="40"/>
      <c r="H146" s="16"/>
      <c r="I146" s="16"/>
      <c r="J146" s="9"/>
      <c r="K146" s="9"/>
      <c r="L146" s="16"/>
    </row>
    <row r="147" spans="1:12">
      <c r="A147" s="1"/>
      <c r="B147" s="7"/>
      <c r="C147" s="7"/>
      <c r="D147" s="16"/>
      <c r="E147" s="9"/>
      <c r="F147" s="16"/>
      <c r="G147" s="40"/>
      <c r="H147" s="16"/>
      <c r="I147" s="16"/>
      <c r="J147" s="9"/>
      <c r="K147" s="9"/>
      <c r="L147" s="16"/>
    </row>
    <row r="148" spans="1:12" ht="25.5" customHeight="1">
      <c r="A148" s="2" t="s">
        <v>3613</v>
      </c>
      <c r="B148" s="147" t="s">
        <v>3510</v>
      </c>
      <c r="C148" s="147" t="s">
        <v>3510</v>
      </c>
      <c r="D148" s="43"/>
      <c r="E148" s="44"/>
      <c r="F148" s="43"/>
      <c r="G148" s="23" t="s">
        <v>3983</v>
      </c>
      <c r="H148" s="43"/>
      <c r="I148" s="43"/>
      <c r="J148" s="44"/>
      <c r="K148" s="44"/>
      <c r="L148" s="43"/>
    </row>
    <row r="149" spans="1:12">
      <c r="A149" s="3" t="s">
        <v>3569</v>
      </c>
      <c r="B149" s="147"/>
      <c r="C149" s="147"/>
      <c r="D149" s="16"/>
      <c r="E149" s="9"/>
      <c r="F149" s="16"/>
      <c r="G149" s="40"/>
      <c r="H149" s="16"/>
      <c r="I149" s="16"/>
      <c r="J149" s="9"/>
      <c r="K149" s="9"/>
      <c r="L149" s="16"/>
    </row>
    <row r="150" spans="1:12">
      <c r="A150" s="1" t="s">
        <v>3573</v>
      </c>
      <c r="B150" s="7">
        <v>56.1</v>
      </c>
      <c r="C150" s="7">
        <v>57.85</v>
      </c>
      <c r="D150" s="16">
        <f t="shared" ref="D150:D163" si="6">(C150-B150)/B150</f>
        <v>3.1194295900178252E-2</v>
      </c>
      <c r="E150" s="9">
        <v>46.85</v>
      </c>
      <c r="F150" s="16">
        <f t="shared" ref="F150:F163" si="7">(C150-E150)/E150</f>
        <v>0.23479188900747064</v>
      </c>
      <c r="G150" s="40"/>
      <c r="H150" s="16"/>
      <c r="I150" s="16"/>
      <c r="J150" s="9"/>
      <c r="K150" s="9"/>
      <c r="L150" s="16"/>
    </row>
    <row r="151" spans="1:12">
      <c r="A151" s="1" t="s">
        <v>3605</v>
      </c>
      <c r="B151" s="7">
        <v>50.64</v>
      </c>
      <c r="C151" s="7">
        <v>52.39</v>
      </c>
      <c r="D151" s="16">
        <f t="shared" si="6"/>
        <v>3.4557661927330174E-2</v>
      </c>
      <c r="E151" s="9">
        <v>46.85</v>
      </c>
      <c r="F151" s="16">
        <f t="shared" si="7"/>
        <v>0.1182497331910352</v>
      </c>
      <c r="G151" s="40"/>
      <c r="H151" s="16"/>
      <c r="I151" s="16"/>
      <c r="J151" s="9"/>
      <c r="K151" s="9"/>
      <c r="L151" s="16"/>
    </row>
    <row r="152" spans="1:12">
      <c r="A152" s="1" t="s">
        <v>3606</v>
      </c>
      <c r="B152" s="7">
        <v>48.72</v>
      </c>
      <c r="C152" s="7">
        <v>50.47</v>
      </c>
      <c r="D152" s="16">
        <f t="shared" si="6"/>
        <v>3.5919540229885055E-2</v>
      </c>
      <c r="E152" s="9">
        <v>46.85</v>
      </c>
      <c r="F152" s="16">
        <f t="shared" si="7"/>
        <v>7.7267876200640281E-2</v>
      </c>
      <c r="G152" s="40"/>
      <c r="H152" s="16"/>
      <c r="I152" s="16"/>
      <c r="J152" s="9"/>
      <c r="K152" s="9"/>
      <c r="L152" s="16"/>
    </row>
    <row r="153" spans="1:12">
      <c r="A153" s="1" t="s">
        <v>3575</v>
      </c>
      <c r="B153" s="7">
        <v>54.56</v>
      </c>
      <c r="C153" s="7">
        <v>56.31</v>
      </c>
      <c r="D153" s="16">
        <f t="shared" si="6"/>
        <v>3.2074780058651026E-2</v>
      </c>
      <c r="E153" s="9">
        <v>46.85</v>
      </c>
      <c r="F153" s="16">
        <f t="shared" si="7"/>
        <v>0.20192102454642477</v>
      </c>
      <c r="G153" s="40"/>
      <c r="H153" s="16"/>
      <c r="I153" s="16"/>
      <c r="J153" s="9"/>
      <c r="K153" s="9"/>
      <c r="L153" s="16"/>
    </row>
    <row r="154" spans="1:12">
      <c r="A154" s="1" t="s">
        <v>3607</v>
      </c>
      <c r="B154" s="7">
        <v>50.43</v>
      </c>
      <c r="C154" s="7">
        <v>52.18</v>
      </c>
      <c r="D154" s="16">
        <f t="shared" si="6"/>
        <v>3.4701566527860397E-2</v>
      </c>
      <c r="E154" s="9">
        <v>46.85</v>
      </c>
      <c r="F154" s="16">
        <f t="shared" si="7"/>
        <v>0.11376734258271073</v>
      </c>
      <c r="G154" s="40"/>
      <c r="H154" s="16"/>
      <c r="I154" s="16"/>
      <c r="J154" s="9"/>
      <c r="K154" s="9"/>
      <c r="L154" s="16"/>
    </row>
    <row r="155" spans="1:12">
      <c r="A155" s="1" t="s">
        <v>3608</v>
      </c>
      <c r="B155" s="7">
        <v>48.52</v>
      </c>
      <c r="C155" s="7">
        <v>50.27</v>
      </c>
      <c r="D155" s="16">
        <f t="shared" si="6"/>
        <v>3.6067600989282765E-2</v>
      </c>
      <c r="E155" s="9">
        <v>46.85</v>
      </c>
      <c r="F155" s="16">
        <f t="shared" si="7"/>
        <v>7.2998932764140906E-2</v>
      </c>
      <c r="G155" s="40"/>
      <c r="H155" s="16"/>
      <c r="I155" s="16"/>
      <c r="J155" s="9"/>
      <c r="K155" s="9"/>
      <c r="L155" s="16"/>
    </row>
    <row r="156" spans="1:12">
      <c r="A156" s="1" t="s">
        <v>3576</v>
      </c>
      <c r="B156" s="7">
        <v>53.11</v>
      </c>
      <c r="C156" s="7">
        <v>54.86</v>
      </c>
      <c r="D156" s="16">
        <f t="shared" si="6"/>
        <v>3.2950480135567693E-2</v>
      </c>
      <c r="E156" s="9">
        <v>46.85</v>
      </c>
      <c r="F156" s="16">
        <f t="shared" si="7"/>
        <v>0.17097118463180358</v>
      </c>
      <c r="G156" s="40"/>
      <c r="H156" s="16"/>
      <c r="I156" s="16"/>
      <c r="J156" s="9"/>
      <c r="K156" s="9"/>
      <c r="L156" s="16"/>
    </row>
    <row r="157" spans="1:12">
      <c r="A157" s="1" t="s">
        <v>3609</v>
      </c>
      <c r="B157" s="7">
        <v>50.21</v>
      </c>
      <c r="C157" s="7">
        <v>51.96</v>
      </c>
      <c r="D157" s="16">
        <f t="shared" si="6"/>
        <v>3.4853614817765388E-2</v>
      </c>
      <c r="E157" s="9">
        <v>46.85</v>
      </c>
      <c r="F157" s="16">
        <f t="shared" si="7"/>
        <v>0.10907150480256135</v>
      </c>
      <c r="G157" s="40"/>
      <c r="H157" s="16"/>
      <c r="I157" s="16"/>
      <c r="J157" s="9"/>
      <c r="K157" s="9"/>
      <c r="L157" s="16"/>
    </row>
    <row r="158" spans="1:12">
      <c r="A158" s="1" t="s">
        <v>3610</v>
      </c>
      <c r="B158" s="7">
        <v>48.29</v>
      </c>
      <c r="C158" s="7">
        <v>50.04</v>
      </c>
      <c r="D158" s="16">
        <f t="shared" si="6"/>
        <v>3.6239387036653553E-2</v>
      </c>
      <c r="E158" s="9">
        <v>46.85</v>
      </c>
      <c r="F158" s="16">
        <f t="shared" si="7"/>
        <v>6.8089647812166434E-2</v>
      </c>
      <c r="G158" s="40"/>
      <c r="H158" s="16"/>
      <c r="I158" s="16"/>
      <c r="J158" s="9"/>
      <c r="K158" s="9"/>
      <c r="L158" s="16"/>
    </row>
    <row r="159" spans="1:12">
      <c r="A159" s="1" t="s">
        <v>3577</v>
      </c>
      <c r="B159" s="7">
        <v>51.6</v>
      </c>
      <c r="C159" s="7">
        <v>53.35</v>
      </c>
      <c r="D159" s="16">
        <f t="shared" si="6"/>
        <v>3.391472868217054E-2</v>
      </c>
      <c r="E159" s="9">
        <v>46.85</v>
      </c>
      <c r="F159" s="16">
        <f t="shared" si="7"/>
        <v>0.13874066168623264</v>
      </c>
      <c r="G159" s="40"/>
      <c r="H159" s="16"/>
      <c r="I159" s="16"/>
      <c r="J159" s="9"/>
      <c r="K159" s="9"/>
      <c r="L159" s="16"/>
    </row>
    <row r="160" spans="1:12">
      <c r="A160" s="1" t="s">
        <v>3579</v>
      </c>
      <c r="B160" s="7">
        <v>50.49</v>
      </c>
      <c r="C160" s="7">
        <v>52.24</v>
      </c>
      <c r="D160" s="16">
        <f t="shared" si="6"/>
        <v>3.4660328777975834E-2</v>
      </c>
      <c r="E160" s="9">
        <v>46.85</v>
      </c>
      <c r="F160" s="16">
        <f t="shared" si="7"/>
        <v>0.11504802561366063</v>
      </c>
      <c r="G160" s="40"/>
      <c r="H160" s="16"/>
      <c r="I160" s="16"/>
      <c r="J160" s="9"/>
      <c r="K160" s="9"/>
      <c r="L160" s="16"/>
    </row>
    <row r="161" spans="1:12">
      <c r="A161" s="1" t="s">
        <v>3580</v>
      </c>
      <c r="B161" s="7">
        <v>49.38</v>
      </c>
      <c r="C161" s="7">
        <v>51.13</v>
      </c>
      <c r="D161" s="16">
        <f t="shared" si="6"/>
        <v>3.5439449169704332E-2</v>
      </c>
      <c r="E161" s="9">
        <v>46.85</v>
      </c>
      <c r="F161" s="16">
        <f t="shared" si="7"/>
        <v>9.13553895410886E-2</v>
      </c>
      <c r="G161" s="40"/>
      <c r="H161" s="16"/>
      <c r="I161" s="16"/>
      <c r="J161" s="9"/>
      <c r="K161" s="9"/>
      <c r="L161" s="16"/>
    </row>
    <row r="162" spans="1:12">
      <c r="A162" s="1" t="s">
        <v>3593</v>
      </c>
      <c r="B162" s="7">
        <v>48.42</v>
      </c>
      <c r="C162" s="7">
        <v>50.17</v>
      </c>
      <c r="D162" s="16">
        <f t="shared" si="6"/>
        <v>3.6142090045435768E-2</v>
      </c>
      <c r="E162" s="9">
        <v>46.85</v>
      </c>
      <c r="F162" s="16">
        <f t="shared" si="7"/>
        <v>7.0864461045891142E-2</v>
      </c>
      <c r="G162" s="40"/>
      <c r="H162" s="16"/>
      <c r="I162" s="16"/>
      <c r="J162" s="9"/>
      <c r="K162" s="9"/>
      <c r="L162" s="16"/>
    </row>
    <row r="163" spans="1:12">
      <c r="A163" s="1" t="s">
        <v>3594</v>
      </c>
      <c r="B163" s="7">
        <v>47.46</v>
      </c>
      <c r="C163" s="7">
        <v>49.21</v>
      </c>
      <c r="D163" s="16">
        <f t="shared" si="6"/>
        <v>3.687315634218289E-2</v>
      </c>
      <c r="E163" s="9">
        <v>46.85</v>
      </c>
      <c r="F163" s="16">
        <f t="shared" si="7"/>
        <v>5.0373532550693691E-2</v>
      </c>
      <c r="G163" s="40"/>
      <c r="H163" s="16"/>
      <c r="I163" s="16"/>
      <c r="J163" s="9"/>
      <c r="K163" s="9"/>
      <c r="L163" s="16"/>
    </row>
    <row r="164" spans="1:12">
      <c r="A164" s="1" t="s">
        <v>3614</v>
      </c>
      <c r="B164" s="11" t="s">
        <v>3534</v>
      </c>
      <c r="C164" s="11" t="s">
        <v>3534</v>
      </c>
      <c r="D164" s="16"/>
      <c r="E164" s="9"/>
      <c r="F164" s="16"/>
      <c r="G164" s="40"/>
      <c r="H164" s="16"/>
      <c r="I164" s="16"/>
      <c r="J164" s="9"/>
      <c r="K164" s="9"/>
      <c r="L164" s="16"/>
    </row>
    <row r="165" spans="1:12">
      <c r="A165" s="1" t="s">
        <v>3615</v>
      </c>
      <c r="B165" s="11" t="s">
        <v>3534</v>
      </c>
      <c r="C165" s="11" t="s">
        <v>3534</v>
      </c>
      <c r="D165" s="16"/>
      <c r="E165" s="9"/>
      <c r="F165" s="16"/>
      <c r="G165" s="40"/>
      <c r="H165" s="16"/>
      <c r="I165" s="16"/>
      <c r="J165" s="9"/>
      <c r="K165" s="9"/>
      <c r="L165" s="16"/>
    </row>
    <row r="166" spans="1:12">
      <c r="A166" s="1"/>
      <c r="B166" s="7"/>
      <c r="C166" s="7"/>
      <c r="D166" s="16"/>
      <c r="E166" s="9"/>
      <c r="F166" s="16"/>
      <c r="G166" s="40"/>
      <c r="H166" s="16"/>
      <c r="I166" s="16"/>
      <c r="J166" s="9"/>
      <c r="K166" s="9"/>
      <c r="L166" s="16"/>
    </row>
    <row r="167" spans="1:12">
      <c r="A167" s="143"/>
      <c r="B167" s="143"/>
      <c r="C167" s="7"/>
      <c r="D167" s="16"/>
      <c r="E167" s="9"/>
      <c r="F167" s="16"/>
      <c r="G167" s="40"/>
      <c r="H167" s="16"/>
      <c r="I167" s="16"/>
      <c r="J167" s="9"/>
      <c r="K167" s="9"/>
      <c r="L167" s="16"/>
    </row>
    <row r="168" spans="1:12" ht="12.75" customHeight="1">
      <c r="A168" s="144" t="s">
        <v>3616</v>
      </c>
      <c r="B168" s="144"/>
      <c r="C168" s="31"/>
      <c r="D168" s="43"/>
      <c r="E168" s="44"/>
      <c r="F168" s="43"/>
      <c r="G168" s="23" t="s">
        <v>3983</v>
      </c>
      <c r="H168" s="43">
        <f>AVERAGE(F169:F176)</f>
        <v>-3.0628423176707855E-2</v>
      </c>
      <c r="I168" s="43"/>
      <c r="J168" s="44"/>
      <c r="K168" s="44"/>
      <c r="L168" s="43"/>
    </row>
    <row r="169" spans="1:12">
      <c r="A169" s="1" t="s">
        <v>3617</v>
      </c>
      <c r="B169" s="7">
        <v>32.74</v>
      </c>
      <c r="C169" s="7">
        <v>32.74</v>
      </c>
      <c r="D169" s="16">
        <f t="shared" ref="D169:D176" si="8">(C169-B169)/B169</f>
        <v>0</v>
      </c>
      <c r="E169" s="9">
        <v>34.69</v>
      </c>
      <c r="F169" s="16">
        <f t="shared" ref="F169:F176" si="9">(C169-E169)/E169</f>
        <v>-5.621216488901689E-2</v>
      </c>
      <c r="G169" s="40"/>
      <c r="H169" s="16"/>
      <c r="I169" s="16"/>
      <c r="J169" s="9"/>
      <c r="K169" s="9"/>
      <c r="L169" s="16"/>
    </row>
    <row r="170" spans="1:12">
      <c r="A170" s="1" t="s">
        <v>3618</v>
      </c>
      <c r="B170" s="7">
        <v>33.590000000000003</v>
      </c>
      <c r="C170" s="7">
        <v>33.590000000000003</v>
      </c>
      <c r="D170" s="16">
        <f t="shared" si="8"/>
        <v>0</v>
      </c>
      <c r="E170" s="9">
        <v>34.69</v>
      </c>
      <c r="F170" s="16">
        <f t="shared" si="9"/>
        <v>-3.1709426347650456E-2</v>
      </c>
      <c r="G170" s="40"/>
      <c r="H170" s="16"/>
      <c r="I170" s="16"/>
      <c r="J170" s="9"/>
      <c r="K170" s="9"/>
      <c r="L170" s="16"/>
    </row>
    <row r="171" spans="1:12">
      <c r="A171" s="1" t="s">
        <v>3619</v>
      </c>
      <c r="B171" s="7">
        <v>33.24</v>
      </c>
      <c r="C171" s="7">
        <v>33.24</v>
      </c>
      <c r="D171" s="16">
        <f t="shared" si="8"/>
        <v>0</v>
      </c>
      <c r="E171" s="9">
        <v>34.69</v>
      </c>
      <c r="F171" s="16">
        <f t="shared" si="9"/>
        <v>-4.1798789276448423E-2</v>
      </c>
      <c r="G171" s="40"/>
      <c r="H171" s="16"/>
      <c r="I171" s="16"/>
      <c r="J171" s="9"/>
      <c r="K171" s="9"/>
      <c r="L171" s="16"/>
    </row>
    <row r="172" spans="1:12">
      <c r="A172" s="1" t="s">
        <v>3620</v>
      </c>
      <c r="B172" s="7">
        <v>33.74</v>
      </c>
      <c r="C172" s="7">
        <v>33.74</v>
      </c>
      <c r="D172" s="16">
        <f t="shared" si="8"/>
        <v>0</v>
      </c>
      <c r="E172" s="9">
        <v>34.69</v>
      </c>
      <c r="F172" s="16">
        <f t="shared" si="9"/>
        <v>-2.7385413663879959E-2</v>
      </c>
      <c r="G172" s="40"/>
      <c r="H172" s="16"/>
      <c r="I172" s="16"/>
      <c r="J172" s="9"/>
      <c r="K172" s="9"/>
      <c r="L172" s="16"/>
    </row>
    <row r="173" spans="1:12">
      <c r="A173" s="1" t="s">
        <v>3621</v>
      </c>
      <c r="B173" s="7">
        <v>34.74</v>
      </c>
      <c r="C173" s="7">
        <v>34.74</v>
      </c>
      <c r="D173" s="16">
        <f t="shared" si="8"/>
        <v>0</v>
      </c>
      <c r="E173" s="9">
        <v>34.69</v>
      </c>
      <c r="F173" s="16">
        <f t="shared" si="9"/>
        <v>1.4413375612569693E-3</v>
      </c>
      <c r="G173" s="40"/>
      <c r="H173" s="16"/>
      <c r="I173" s="16"/>
      <c r="J173" s="9"/>
      <c r="K173" s="9"/>
      <c r="L173" s="16"/>
    </row>
    <row r="174" spans="1:12">
      <c r="A174" s="1" t="s">
        <v>3622</v>
      </c>
      <c r="B174" s="7">
        <v>33.24</v>
      </c>
      <c r="C174" s="7">
        <v>33.24</v>
      </c>
      <c r="D174" s="16">
        <f t="shared" si="8"/>
        <v>0</v>
      </c>
      <c r="E174" s="9">
        <v>34.69</v>
      </c>
      <c r="F174" s="16">
        <f t="shared" si="9"/>
        <v>-4.1798789276448423E-2</v>
      </c>
      <c r="G174" s="40"/>
      <c r="H174" s="16"/>
      <c r="I174" s="16"/>
      <c r="J174" s="9"/>
      <c r="K174" s="9"/>
      <c r="L174" s="16"/>
    </row>
    <row r="175" spans="1:12">
      <c r="A175" s="1" t="s">
        <v>3623</v>
      </c>
      <c r="B175" s="7">
        <v>33.74</v>
      </c>
      <c r="C175" s="7">
        <v>33.74</v>
      </c>
      <c r="D175" s="16">
        <f t="shared" si="8"/>
        <v>0</v>
      </c>
      <c r="E175" s="9">
        <v>34.69</v>
      </c>
      <c r="F175" s="16">
        <f t="shared" si="9"/>
        <v>-2.7385413663879959E-2</v>
      </c>
      <c r="G175" s="40"/>
      <c r="H175" s="16"/>
      <c r="I175" s="16"/>
      <c r="J175" s="9"/>
      <c r="K175" s="9"/>
      <c r="L175" s="16"/>
    </row>
    <row r="176" spans="1:12">
      <c r="A176" s="1" t="s">
        <v>3624</v>
      </c>
      <c r="B176" s="7">
        <v>33.99</v>
      </c>
      <c r="C176" s="7">
        <v>33.99</v>
      </c>
      <c r="D176" s="16">
        <f t="shared" si="8"/>
        <v>0</v>
      </c>
      <c r="E176" s="9">
        <v>34.69</v>
      </c>
      <c r="F176" s="16">
        <f t="shared" si="9"/>
        <v>-2.0178725857595729E-2</v>
      </c>
      <c r="G176" s="40"/>
      <c r="H176" s="16"/>
      <c r="I176" s="16"/>
      <c r="J176" s="9"/>
      <c r="K176" s="9"/>
      <c r="L176" s="16"/>
    </row>
    <row r="177" spans="1:12" ht="12.75" customHeight="1">
      <c r="A177" s="143" t="s">
        <v>3943</v>
      </c>
      <c r="B177" s="143"/>
      <c r="C177" s="7"/>
      <c r="D177" s="16"/>
      <c r="E177" s="9"/>
      <c r="F177" s="16"/>
      <c r="G177" s="40"/>
      <c r="H177" s="16"/>
      <c r="I177" s="16"/>
      <c r="J177" s="9"/>
      <c r="K177" s="9"/>
      <c r="L177" s="16"/>
    </row>
    <row r="178" spans="1:12">
      <c r="A178" s="143"/>
      <c r="B178" s="143"/>
      <c r="C178" s="7"/>
      <c r="D178" s="16"/>
      <c r="E178" s="9"/>
      <c r="F178" s="16"/>
      <c r="G178" s="40"/>
      <c r="H178" s="16"/>
      <c r="I178" s="16"/>
      <c r="J178" s="9"/>
      <c r="K178" s="9"/>
      <c r="L178" s="16"/>
    </row>
    <row r="179" spans="1:12" ht="12.75" customHeight="1">
      <c r="A179" s="144" t="s">
        <v>3626</v>
      </c>
      <c r="B179" s="144"/>
      <c r="C179" s="10"/>
      <c r="D179" s="16"/>
      <c r="E179" s="9"/>
      <c r="F179" s="16"/>
      <c r="G179" s="40"/>
      <c r="H179" s="16"/>
      <c r="I179" s="16"/>
      <c r="J179" s="9"/>
      <c r="K179" s="9"/>
      <c r="L179" s="16"/>
    </row>
    <row r="180" spans="1:12">
      <c r="A180" s="1" t="s">
        <v>3627</v>
      </c>
      <c r="B180" s="7">
        <v>58.47</v>
      </c>
      <c r="C180" s="7">
        <v>58.47</v>
      </c>
      <c r="D180" s="16">
        <f>(C180-B180)/B180</f>
        <v>0</v>
      </c>
      <c r="E180" s="9"/>
      <c r="F180" s="16"/>
      <c r="G180" s="40"/>
      <c r="H180" s="16"/>
      <c r="I180" s="16"/>
      <c r="J180" s="9"/>
      <c r="K180" s="9"/>
      <c r="L180" s="16"/>
    </row>
    <row r="181" spans="1:12">
      <c r="A181" s="1" t="s">
        <v>3628</v>
      </c>
      <c r="B181" s="7">
        <v>62.05</v>
      </c>
      <c r="C181" s="7">
        <v>62.05</v>
      </c>
      <c r="D181" s="16">
        <f>(C181-B181)/B181</f>
        <v>0</v>
      </c>
      <c r="E181" s="9"/>
      <c r="F181" s="16"/>
      <c r="G181" s="40"/>
      <c r="H181" s="16"/>
      <c r="I181" s="16"/>
      <c r="J181" s="9"/>
      <c r="K181" s="9"/>
      <c r="L181" s="16"/>
    </row>
    <row r="182" spans="1:12">
      <c r="A182" s="143"/>
      <c r="B182" s="143"/>
      <c r="C182" s="7"/>
      <c r="D182" s="16"/>
      <c r="E182" s="9"/>
      <c r="F182" s="16"/>
      <c r="G182" s="40"/>
      <c r="H182" s="16"/>
      <c r="I182" s="16"/>
      <c r="J182" s="9"/>
      <c r="K182" s="9"/>
      <c r="L182" s="16"/>
    </row>
    <row r="183" spans="1:12" ht="38.25">
      <c r="A183" s="2" t="s">
        <v>3629</v>
      </c>
      <c r="B183" s="12" t="s">
        <v>3510</v>
      </c>
      <c r="C183" s="31" t="s">
        <v>3480</v>
      </c>
      <c r="D183" s="43"/>
      <c r="E183" s="44"/>
      <c r="F183" s="43"/>
      <c r="G183" s="23" t="s">
        <v>3983</v>
      </c>
      <c r="H183" s="43">
        <f>AVERAGE(F184:F185)</f>
        <v>1.7143666761122243E-2</v>
      </c>
      <c r="I183" s="43"/>
      <c r="J183" s="44"/>
      <c r="K183" s="44"/>
      <c r="L183" s="43"/>
    </row>
    <row r="184" spans="1:12">
      <c r="A184" s="1" t="s">
        <v>3630</v>
      </c>
      <c r="B184" s="7">
        <v>34.270000000000003</v>
      </c>
      <c r="C184" s="7">
        <v>34.770000000000003</v>
      </c>
      <c r="D184" s="16">
        <f>(C184-B184)/B184</f>
        <v>1.4590020426028595E-2</v>
      </c>
      <c r="E184" s="9">
        <v>35.29</v>
      </c>
      <c r="F184" s="16">
        <f>(C184-E184)/E184</f>
        <v>-1.4735052422782545E-2</v>
      </c>
      <c r="G184" s="40"/>
      <c r="H184" s="16"/>
      <c r="I184" s="16"/>
      <c r="J184" s="9"/>
      <c r="K184" s="9"/>
      <c r="L184" s="16"/>
    </row>
    <row r="185" spans="1:12">
      <c r="A185" s="1" t="s">
        <v>3631</v>
      </c>
      <c r="B185" s="7">
        <v>35.590000000000003</v>
      </c>
      <c r="C185" s="7">
        <v>37.020000000000003</v>
      </c>
      <c r="D185" s="16">
        <f>(C185-B185)/B185</f>
        <v>4.017982579376228E-2</v>
      </c>
      <c r="E185" s="9">
        <v>35.29</v>
      </c>
      <c r="F185" s="16">
        <f>(C185-E185)/E185</f>
        <v>4.9022385945027031E-2</v>
      </c>
      <c r="G185" s="40"/>
      <c r="H185" s="16"/>
      <c r="I185" s="16"/>
      <c r="J185" s="9"/>
      <c r="K185" s="9"/>
      <c r="L185" s="16"/>
    </row>
    <row r="186" spans="1:12">
      <c r="A186" s="1"/>
      <c r="B186" s="7"/>
      <c r="C186" s="7"/>
      <c r="D186" s="16"/>
      <c r="E186" s="9"/>
      <c r="F186" s="16"/>
      <c r="G186" s="40"/>
      <c r="H186" s="16"/>
      <c r="I186" s="16"/>
      <c r="J186" s="9"/>
      <c r="K186" s="9"/>
      <c r="L186" s="16"/>
    </row>
    <row r="187" spans="1:12">
      <c r="A187" s="2" t="s">
        <v>3632</v>
      </c>
      <c r="B187" s="11" t="s">
        <v>3534</v>
      </c>
      <c r="C187" s="33" t="s">
        <v>3534</v>
      </c>
      <c r="D187" s="43"/>
      <c r="E187" s="44"/>
      <c r="F187" s="43"/>
      <c r="G187" s="23" t="s">
        <v>3983</v>
      </c>
      <c r="H187" s="43">
        <f>AVERAGE(F188)</f>
        <v>0.17616445485297952</v>
      </c>
      <c r="I187" s="43"/>
      <c r="J187" s="44"/>
      <c r="K187" s="44"/>
      <c r="L187" s="43"/>
    </row>
    <row r="188" spans="1:12">
      <c r="A188" s="1" t="s">
        <v>3926</v>
      </c>
      <c r="B188" s="7">
        <v>45.2</v>
      </c>
      <c r="C188" s="7">
        <v>45.2</v>
      </c>
      <c r="D188" s="16">
        <f>(C188-B188)/B188</f>
        <v>0</v>
      </c>
      <c r="E188" s="9">
        <v>38.43</v>
      </c>
      <c r="F188" s="16">
        <f>(C188-E188)/E188</f>
        <v>0.17616445485297952</v>
      </c>
      <c r="G188" s="40"/>
      <c r="H188" s="16"/>
      <c r="I188" s="16"/>
      <c r="J188" s="9"/>
      <c r="K188" s="9"/>
      <c r="L188" s="16"/>
    </row>
    <row r="189" spans="1:12">
      <c r="A189" s="1"/>
      <c r="B189" s="7"/>
      <c r="C189" s="7"/>
      <c r="D189" s="16"/>
      <c r="E189" s="9"/>
      <c r="F189" s="16"/>
      <c r="G189" s="40"/>
      <c r="H189" s="16"/>
      <c r="I189" s="16"/>
      <c r="J189" s="9"/>
      <c r="K189" s="9"/>
      <c r="L189" s="16"/>
    </row>
    <row r="190" spans="1:12" ht="25.5">
      <c r="A190" s="2" t="s">
        <v>3636</v>
      </c>
      <c r="B190" s="11" t="s">
        <v>3534</v>
      </c>
      <c r="C190" s="31" t="s">
        <v>3499</v>
      </c>
      <c r="D190" s="43"/>
      <c r="E190" s="44"/>
      <c r="F190" s="43"/>
      <c r="G190" s="23" t="s">
        <v>3983</v>
      </c>
      <c r="H190" s="43">
        <f>AVERAGE(F191)</f>
        <v>4.5248868778280472E-2</v>
      </c>
      <c r="I190" s="43"/>
      <c r="J190" s="44"/>
      <c r="K190" s="44"/>
      <c r="L190" s="43"/>
    </row>
    <row r="191" spans="1:12">
      <c r="A191" s="1" t="s">
        <v>3913</v>
      </c>
      <c r="B191" s="7">
        <v>27.55</v>
      </c>
      <c r="C191" s="7">
        <v>41.58</v>
      </c>
      <c r="D191" s="16">
        <f>(C191-B191)/B191</f>
        <v>0.50925589836660612</v>
      </c>
      <c r="E191" s="9">
        <v>39.78</v>
      </c>
      <c r="F191" s="16">
        <f>(C191-E191)/E191</f>
        <v>4.5248868778280472E-2</v>
      </c>
      <c r="G191" s="40"/>
      <c r="H191" s="16"/>
      <c r="I191" s="16"/>
      <c r="J191" s="9"/>
      <c r="K191" s="9"/>
      <c r="L191" s="16"/>
    </row>
    <row r="192" spans="1:12">
      <c r="A192" s="1"/>
      <c r="B192" s="7"/>
      <c r="C192" s="7"/>
      <c r="D192" s="16"/>
      <c r="E192" s="9"/>
      <c r="F192" s="16"/>
      <c r="G192" s="40"/>
      <c r="H192" s="16"/>
      <c r="I192" s="16"/>
      <c r="J192" s="9"/>
      <c r="K192" s="9"/>
      <c r="L192" s="16"/>
    </row>
    <row r="193" spans="1:12">
      <c r="A193" s="2" t="s">
        <v>3933</v>
      </c>
      <c r="B193" s="11" t="s">
        <v>3534</v>
      </c>
      <c r="C193" s="11" t="s">
        <v>3534</v>
      </c>
      <c r="D193" s="16"/>
      <c r="E193" s="9"/>
      <c r="F193" s="16"/>
      <c r="G193" s="40"/>
      <c r="H193" s="16"/>
      <c r="I193" s="16"/>
      <c r="J193" s="9"/>
      <c r="K193" s="9"/>
      <c r="L193" s="16"/>
    </row>
    <row r="194" spans="1:12">
      <c r="A194" s="1" t="s">
        <v>3880</v>
      </c>
      <c r="B194" s="11"/>
      <c r="C194" s="33"/>
      <c r="D194" s="43"/>
      <c r="E194" s="44"/>
      <c r="F194" s="43"/>
      <c r="G194" s="23" t="s">
        <v>3984</v>
      </c>
      <c r="H194" s="43"/>
      <c r="I194" s="43">
        <f>AVERAGE(F195)</f>
        <v>4.8034934497816692E-2</v>
      </c>
      <c r="J194" s="44"/>
      <c r="K194" s="44"/>
      <c r="L194" s="43"/>
    </row>
    <row r="195" spans="1:12">
      <c r="A195" s="1" t="s">
        <v>3915</v>
      </c>
      <c r="B195" s="7">
        <v>21.28</v>
      </c>
      <c r="C195" s="7">
        <v>21.6</v>
      </c>
      <c r="D195" s="16">
        <f>(C195-B195)/B195</f>
        <v>1.5037593984962419E-2</v>
      </c>
      <c r="E195" s="9">
        <v>20.61</v>
      </c>
      <c r="F195" s="16">
        <f>(C195-E195)/E195</f>
        <v>4.8034934497816692E-2</v>
      </c>
      <c r="G195" s="40"/>
      <c r="H195" s="16"/>
      <c r="I195" s="16"/>
      <c r="J195" s="9"/>
      <c r="K195" s="9"/>
      <c r="L195" s="16"/>
    </row>
    <row r="196" spans="1:12">
      <c r="A196" s="1"/>
      <c r="B196" s="7"/>
      <c r="C196" s="7"/>
      <c r="D196" s="16"/>
      <c r="E196" s="9"/>
      <c r="F196" s="16"/>
      <c r="G196" s="40"/>
      <c r="H196" s="16"/>
      <c r="I196" s="16"/>
      <c r="J196" s="9"/>
      <c r="K196" s="9"/>
      <c r="L196" s="16"/>
    </row>
    <row r="197" spans="1:12" ht="38.25">
      <c r="A197" s="2" t="s">
        <v>3640</v>
      </c>
      <c r="B197" s="12" t="s">
        <v>3510</v>
      </c>
      <c r="C197" s="12" t="s">
        <v>3510</v>
      </c>
      <c r="D197" s="43"/>
      <c r="E197" s="44"/>
      <c r="F197" s="43"/>
      <c r="G197" s="23" t="s">
        <v>3983</v>
      </c>
      <c r="H197" s="43">
        <f>AVERAGE(F198)</f>
        <v>9.2902350813743206E-2</v>
      </c>
      <c r="I197" s="43"/>
      <c r="J197" s="44"/>
      <c r="K197" s="44"/>
      <c r="L197" s="43"/>
    </row>
    <row r="198" spans="1:12">
      <c r="A198" s="1" t="s">
        <v>3949</v>
      </c>
      <c r="B198" s="7">
        <v>46.6</v>
      </c>
      <c r="C198" s="7">
        <v>48.35</v>
      </c>
      <c r="D198" s="16">
        <f>(C198-B198)/B198</f>
        <v>3.7553648068669523E-2</v>
      </c>
      <c r="E198" s="9">
        <v>44.24</v>
      </c>
      <c r="F198" s="16">
        <f>(C198-E198)/E198</f>
        <v>9.2902350813743206E-2</v>
      </c>
      <c r="G198" s="40"/>
      <c r="H198" s="16"/>
      <c r="I198" s="16"/>
      <c r="J198" s="9"/>
      <c r="K198" s="9"/>
      <c r="L198" s="16"/>
    </row>
    <row r="199" spans="1:12">
      <c r="A199" s="1"/>
      <c r="B199" s="7"/>
      <c r="C199" s="7"/>
      <c r="D199" s="16"/>
      <c r="E199" s="9"/>
      <c r="F199" s="16"/>
      <c r="G199" s="40"/>
      <c r="H199" s="16"/>
      <c r="I199" s="16"/>
      <c r="J199" s="9"/>
      <c r="K199" s="9"/>
      <c r="L199" s="16"/>
    </row>
    <row r="200" spans="1:12" ht="25.5">
      <c r="A200" s="2" t="s">
        <v>3644</v>
      </c>
      <c r="B200" s="11" t="s">
        <v>3534</v>
      </c>
      <c r="C200" s="31" t="s">
        <v>3499</v>
      </c>
      <c r="D200" s="43"/>
      <c r="E200" s="44"/>
      <c r="F200" s="43"/>
      <c r="G200" s="23" t="s">
        <v>3984</v>
      </c>
      <c r="H200" s="43"/>
      <c r="I200" s="43">
        <f>AVERAGE(F201:F203)</f>
        <v>-8.4670853686903927E-2</v>
      </c>
      <c r="J200" s="44"/>
      <c r="K200" s="44"/>
      <c r="L200" s="43"/>
    </row>
    <row r="201" spans="1:12">
      <c r="A201" s="1" t="s">
        <v>3645</v>
      </c>
      <c r="B201" s="7">
        <v>52.3</v>
      </c>
      <c r="C201" s="7">
        <v>39.35</v>
      </c>
      <c r="D201" s="16">
        <f>(C201-B201)/B201</f>
        <v>-0.24760994263862326</v>
      </c>
      <c r="E201" s="9">
        <v>42.99</v>
      </c>
      <c r="F201" s="16">
        <f>(C201-E201)/E201</f>
        <v>-8.4670853686903941E-2</v>
      </c>
      <c r="G201" s="40"/>
      <c r="H201" s="16"/>
      <c r="I201" s="16"/>
      <c r="J201" s="9"/>
      <c r="K201" s="9"/>
      <c r="L201" s="16"/>
    </row>
    <row r="202" spans="1:12">
      <c r="A202" s="1" t="s">
        <v>3646</v>
      </c>
      <c r="B202" s="7">
        <v>55.05</v>
      </c>
      <c r="C202" s="7">
        <v>39.35</v>
      </c>
      <c r="D202" s="16">
        <f>(C202-B202)/B202</f>
        <v>-0.28519527702089004</v>
      </c>
      <c r="E202" s="9">
        <v>42.99</v>
      </c>
      <c r="F202" s="16">
        <f>(C202-E202)/E202</f>
        <v>-8.4670853686903941E-2</v>
      </c>
      <c r="G202" s="40"/>
      <c r="H202" s="16"/>
      <c r="I202" s="16"/>
      <c r="J202" s="9"/>
      <c r="K202" s="9"/>
      <c r="L202" s="16"/>
    </row>
    <row r="203" spans="1:12">
      <c r="A203" s="1" t="s">
        <v>3647</v>
      </c>
      <c r="B203" s="7">
        <v>57.3</v>
      </c>
      <c r="C203" s="7">
        <v>39.35</v>
      </c>
      <c r="D203" s="16">
        <f>(C203-B203)/B203</f>
        <v>-0.31326352530541007</v>
      </c>
      <c r="E203" s="9">
        <v>42.99</v>
      </c>
      <c r="F203" s="16">
        <f>(C203-E203)/E203</f>
        <v>-8.4670853686903941E-2</v>
      </c>
      <c r="G203" s="40"/>
      <c r="H203" s="16"/>
      <c r="I203" s="16"/>
      <c r="J203" s="9"/>
      <c r="K203" s="9"/>
      <c r="L203" s="16"/>
    </row>
    <row r="204" spans="1:12">
      <c r="A204" s="1"/>
      <c r="B204" s="7"/>
      <c r="C204" s="7"/>
      <c r="D204" s="16"/>
      <c r="E204" s="9"/>
      <c r="F204" s="16"/>
      <c r="G204" s="40"/>
      <c r="H204" s="16"/>
      <c r="I204" s="16"/>
      <c r="J204" s="9"/>
      <c r="K204" s="9"/>
      <c r="L204" s="16"/>
    </row>
    <row r="205" spans="1:12">
      <c r="A205" s="2" t="s">
        <v>3648</v>
      </c>
      <c r="B205" s="7"/>
      <c r="C205" s="31" t="s">
        <v>3497</v>
      </c>
      <c r="D205" s="43"/>
      <c r="E205" s="44"/>
      <c r="F205" s="43"/>
      <c r="G205" s="23" t="s">
        <v>3984</v>
      </c>
      <c r="H205" s="43"/>
      <c r="I205" s="43">
        <f>AVERAGE(F206)</f>
        <v>0</v>
      </c>
      <c r="J205" s="44"/>
      <c r="K205" s="44"/>
      <c r="L205" s="43"/>
    </row>
    <row r="206" spans="1:12">
      <c r="A206" s="1" t="s">
        <v>3650</v>
      </c>
      <c r="B206" s="7">
        <v>42.14</v>
      </c>
      <c r="C206" s="7">
        <v>25.63</v>
      </c>
      <c r="D206" s="16">
        <f>(C206-B206)/B206</f>
        <v>-0.39178927384907453</v>
      </c>
      <c r="E206" s="9">
        <v>25.63</v>
      </c>
      <c r="F206" s="16">
        <f>(C206-E206)/E206</f>
        <v>0</v>
      </c>
      <c r="G206" s="40"/>
      <c r="H206" s="16"/>
      <c r="I206" s="16"/>
      <c r="J206" s="9"/>
      <c r="K206" s="9"/>
      <c r="L206" s="16"/>
    </row>
    <row r="207" spans="1:12">
      <c r="A207" s="1"/>
      <c r="B207" s="7"/>
      <c r="C207" s="7"/>
      <c r="D207" s="16"/>
      <c r="E207" s="9"/>
      <c r="F207" s="16"/>
      <c r="G207" s="40"/>
      <c r="H207" s="16"/>
      <c r="I207" s="16"/>
      <c r="J207" s="9"/>
      <c r="K207" s="9"/>
      <c r="L207" s="16"/>
    </row>
    <row r="208" spans="1:12">
      <c r="A208" s="2" t="s">
        <v>3651</v>
      </c>
      <c r="B208" s="11" t="s">
        <v>3534</v>
      </c>
      <c r="C208" s="31" t="s">
        <v>3480</v>
      </c>
      <c r="D208" s="43"/>
      <c r="E208" s="44"/>
      <c r="F208" s="43"/>
      <c r="G208" s="23" t="s">
        <v>3983</v>
      </c>
      <c r="H208" s="43">
        <f>AVERAGE(F209)</f>
        <v>1.0866536639732532E-2</v>
      </c>
      <c r="I208" s="43"/>
      <c r="J208" s="44"/>
      <c r="K208" s="44"/>
      <c r="L208" s="43"/>
    </row>
    <row r="209" spans="1:12">
      <c r="A209" s="1" t="s">
        <v>3652</v>
      </c>
      <c r="B209" s="7">
        <v>35.49</v>
      </c>
      <c r="C209" s="7">
        <v>36.28</v>
      </c>
      <c r="D209" s="16">
        <f>(C209-B209)/B209</f>
        <v>2.2259791490560697E-2</v>
      </c>
      <c r="E209" s="9">
        <v>35.89</v>
      </c>
      <c r="F209" s="16">
        <f>(C209-E209)/E209</f>
        <v>1.0866536639732532E-2</v>
      </c>
      <c r="G209" s="40"/>
      <c r="H209" s="16"/>
      <c r="I209" s="16"/>
      <c r="J209" s="9"/>
      <c r="K209" s="9"/>
      <c r="L209" s="16"/>
    </row>
    <row r="210" spans="1:12">
      <c r="A210" s="1"/>
      <c r="B210" s="7"/>
      <c r="C210" s="7"/>
      <c r="D210" s="16"/>
      <c r="E210" s="9"/>
      <c r="F210" s="16"/>
      <c r="G210" s="40"/>
      <c r="H210" s="16"/>
      <c r="I210" s="16"/>
      <c r="J210" s="9"/>
      <c r="K210" s="9"/>
      <c r="L210" s="16"/>
    </row>
    <row r="211" spans="1:12" ht="38.25">
      <c r="A211" s="2" t="s">
        <v>3653</v>
      </c>
      <c r="B211" s="12" t="s">
        <v>3977</v>
      </c>
      <c r="C211" s="31" t="s">
        <v>3480</v>
      </c>
      <c r="D211" s="43"/>
      <c r="E211" s="44"/>
      <c r="F211" s="43"/>
      <c r="G211" s="23" t="s">
        <v>3983</v>
      </c>
      <c r="H211" s="43">
        <f>AVERAGE(F212)</f>
        <v>1.0195758564437194E-2</v>
      </c>
      <c r="I211" s="43"/>
      <c r="J211" s="44"/>
      <c r="K211" s="44"/>
      <c r="L211" s="43"/>
    </row>
    <row r="212" spans="1:12">
      <c r="A212" s="1" t="s">
        <v>3654</v>
      </c>
      <c r="B212" s="7">
        <v>32.479999999999997</v>
      </c>
      <c r="C212" s="7">
        <v>24.77</v>
      </c>
      <c r="D212" s="16">
        <f>(C212-B212)/B212</f>
        <v>-0.23737684729064035</v>
      </c>
      <c r="E212" s="9">
        <v>24.52</v>
      </c>
      <c r="F212" s="16">
        <f>(C212-E212)/E212</f>
        <v>1.0195758564437194E-2</v>
      </c>
      <c r="G212" s="40"/>
      <c r="H212" s="16"/>
      <c r="I212" s="16"/>
      <c r="J212" s="9"/>
      <c r="K212" s="9"/>
      <c r="L212" s="16"/>
    </row>
    <row r="213" spans="1:12">
      <c r="A213" s="1"/>
      <c r="B213" s="7"/>
      <c r="C213" s="7"/>
      <c r="D213" s="16"/>
      <c r="E213" s="9"/>
      <c r="F213" s="16"/>
      <c r="G213" s="40"/>
      <c r="H213" s="16"/>
      <c r="I213" s="16"/>
      <c r="J213" s="9"/>
      <c r="K213" s="9"/>
      <c r="L213" s="16"/>
    </row>
    <row r="214" spans="1:12" ht="38.25">
      <c r="A214" s="2" t="s">
        <v>3655</v>
      </c>
      <c r="B214" s="12" t="s">
        <v>3510</v>
      </c>
      <c r="C214" s="31" t="s">
        <v>3480</v>
      </c>
      <c r="D214" s="43"/>
      <c r="E214" s="44"/>
      <c r="F214" s="43"/>
      <c r="G214" s="23" t="s">
        <v>3983</v>
      </c>
      <c r="H214" s="43">
        <f>AVERAGE(F215:F220)</f>
        <v>4.1518034086404983E-2</v>
      </c>
      <c r="I214" s="43"/>
      <c r="J214" s="44"/>
      <c r="K214" s="44"/>
      <c r="L214" s="43"/>
    </row>
    <row r="215" spans="1:12">
      <c r="A215" s="1" t="s">
        <v>3656</v>
      </c>
      <c r="B215" s="7">
        <v>35.99</v>
      </c>
      <c r="C215" s="7">
        <v>32.869999999999997</v>
      </c>
      <c r="D215" s="16">
        <f t="shared" ref="D215:D220" si="10">(C215-B215)/B215</f>
        <v>-8.6690747429841744E-2</v>
      </c>
      <c r="E215" s="9">
        <v>33.64</v>
      </c>
      <c r="F215" s="16">
        <f t="shared" ref="F215:F220" si="11">(C215-E215)/E215</f>
        <v>-2.2889417360285467E-2</v>
      </c>
      <c r="G215" s="40"/>
      <c r="H215" s="16"/>
      <c r="I215" s="16"/>
      <c r="J215" s="9"/>
      <c r="K215" s="9"/>
      <c r="L215" s="16"/>
    </row>
    <row r="216" spans="1:12">
      <c r="A216" s="1" t="s">
        <v>3657</v>
      </c>
      <c r="B216" s="7">
        <v>35.99</v>
      </c>
      <c r="C216" s="7">
        <v>34.119999999999997</v>
      </c>
      <c r="D216" s="16">
        <f t="shared" si="10"/>
        <v>-5.1958877465962894E-2</v>
      </c>
      <c r="E216" s="9">
        <v>33.64</v>
      </c>
      <c r="F216" s="16">
        <f t="shared" si="11"/>
        <v>1.4268727705112868E-2</v>
      </c>
      <c r="G216" s="40"/>
      <c r="H216" s="16"/>
      <c r="I216" s="16"/>
      <c r="J216" s="9"/>
      <c r="K216" s="9"/>
      <c r="L216" s="16"/>
    </row>
    <row r="217" spans="1:12">
      <c r="A217" s="1" t="s">
        <v>3916</v>
      </c>
      <c r="B217" s="7">
        <v>35.99</v>
      </c>
      <c r="C217" s="7">
        <v>35.869999999999997</v>
      </c>
      <c r="D217" s="16">
        <f t="shared" si="10"/>
        <v>-3.3342595165324965E-3</v>
      </c>
      <c r="E217" s="9">
        <v>33.64</v>
      </c>
      <c r="F217" s="16">
        <f t="shared" si="11"/>
        <v>6.6290130796670538E-2</v>
      </c>
      <c r="G217" s="40"/>
      <c r="H217" s="16"/>
      <c r="I217" s="16"/>
      <c r="J217" s="9"/>
      <c r="K217" s="9"/>
      <c r="L217" s="16"/>
    </row>
    <row r="218" spans="1:12">
      <c r="A218" s="1" t="s">
        <v>3659</v>
      </c>
      <c r="B218" s="7">
        <v>35.99</v>
      </c>
      <c r="C218" s="7">
        <v>34.369999999999997</v>
      </c>
      <c r="D218" s="16">
        <f t="shared" si="10"/>
        <v>-4.5012503473187117E-2</v>
      </c>
      <c r="E218" s="9">
        <v>33.64</v>
      </c>
      <c r="F218" s="16">
        <f t="shared" si="11"/>
        <v>2.1700356718192534E-2</v>
      </c>
      <c r="G218" s="40"/>
      <c r="H218" s="16"/>
      <c r="I218" s="16"/>
      <c r="J218" s="9"/>
      <c r="K218" s="9"/>
      <c r="L218" s="16"/>
    </row>
    <row r="219" spans="1:12">
      <c r="A219" s="1" t="s">
        <v>3660</v>
      </c>
      <c r="B219" s="7">
        <v>35.99</v>
      </c>
      <c r="C219" s="7">
        <v>35.619999999999997</v>
      </c>
      <c r="D219" s="16">
        <f t="shared" si="10"/>
        <v>-1.0280633509308267E-2</v>
      </c>
      <c r="E219" s="9">
        <v>33.64</v>
      </c>
      <c r="F219" s="16">
        <f t="shared" si="11"/>
        <v>5.8858501783590866E-2</v>
      </c>
      <c r="G219" s="40"/>
      <c r="H219" s="16"/>
      <c r="I219" s="16"/>
      <c r="J219" s="9"/>
      <c r="K219" s="9"/>
      <c r="L219" s="16"/>
    </row>
    <row r="220" spans="1:12">
      <c r="A220" s="1" t="s">
        <v>3661</v>
      </c>
      <c r="B220" s="7">
        <v>35.99</v>
      </c>
      <c r="C220" s="7">
        <v>37.369999999999997</v>
      </c>
      <c r="D220" s="16">
        <f t="shared" si="10"/>
        <v>3.8343984440122131E-2</v>
      </c>
      <c r="E220" s="9">
        <v>33.64</v>
      </c>
      <c r="F220" s="16">
        <f t="shared" si="11"/>
        <v>0.11087990487514854</v>
      </c>
      <c r="G220" s="40"/>
      <c r="H220" s="16"/>
      <c r="I220" s="16"/>
      <c r="J220" s="9"/>
      <c r="K220" s="9"/>
      <c r="L220" s="16"/>
    </row>
    <row r="221" spans="1:12">
      <c r="A221" s="1"/>
      <c r="B221" s="7"/>
      <c r="C221" s="7"/>
      <c r="D221" s="16"/>
      <c r="E221" s="9"/>
      <c r="F221" s="16"/>
      <c r="G221" s="40"/>
      <c r="H221" s="16"/>
      <c r="I221" s="16"/>
      <c r="J221" s="9"/>
      <c r="K221" s="9"/>
      <c r="L221" s="16"/>
    </row>
    <row r="222" spans="1:12">
      <c r="A222" s="1"/>
      <c r="B222" s="7"/>
      <c r="C222" s="7"/>
      <c r="D222" s="16"/>
      <c r="E222" s="9"/>
      <c r="F222" s="16"/>
      <c r="G222" s="40"/>
      <c r="H222" s="16"/>
      <c r="I222" s="16"/>
      <c r="J222" s="9"/>
      <c r="K222" s="9"/>
      <c r="L222" s="16"/>
    </row>
    <row r="223" spans="1:12" ht="51">
      <c r="A223" s="2" t="s">
        <v>3662</v>
      </c>
      <c r="B223" s="12" t="s">
        <v>3547</v>
      </c>
      <c r="C223" s="12" t="s">
        <v>3547</v>
      </c>
      <c r="D223" s="16"/>
      <c r="E223" s="9"/>
      <c r="F223" s="16"/>
      <c r="G223" s="40"/>
      <c r="H223" s="16"/>
      <c r="I223" s="16"/>
      <c r="J223" s="9"/>
      <c r="K223" s="9"/>
      <c r="L223" s="16"/>
    </row>
    <row r="224" spans="1:12">
      <c r="A224" s="1" t="s">
        <v>3663</v>
      </c>
      <c r="B224" s="7">
        <v>30.82</v>
      </c>
      <c r="C224" s="7">
        <v>30.82</v>
      </c>
      <c r="D224" s="16">
        <f>(C224-B224)/B224</f>
        <v>0</v>
      </c>
      <c r="E224" s="9"/>
      <c r="F224" s="16"/>
      <c r="G224" s="40"/>
      <c r="H224" s="16"/>
      <c r="I224" s="16"/>
      <c r="J224" s="9"/>
      <c r="K224" s="9"/>
      <c r="L224" s="16"/>
    </row>
    <row r="225" spans="1:12">
      <c r="A225" s="1"/>
      <c r="B225" s="7"/>
      <c r="C225" s="7"/>
      <c r="D225" s="16"/>
      <c r="E225" s="9"/>
      <c r="F225" s="16"/>
      <c r="G225" s="40"/>
      <c r="H225" s="16"/>
      <c r="I225" s="16"/>
      <c r="J225" s="9"/>
      <c r="K225" s="9"/>
      <c r="L225" s="16"/>
    </row>
    <row r="226" spans="1:12">
      <c r="A226" s="2" t="s">
        <v>3664</v>
      </c>
      <c r="B226" s="7"/>
      <c r="C226" s="31" t="s">
        <v>3497</v>
      </c>
      <c r="D226" s="43"/>
      <c r="E226" s="44"/>
      <c r="F226" s="43"/>
      <c r="G226" s="23" t="s">
        <v>3984</v>
      </c>
      <c r="H226" s="43"/>
      <c r="I226" s="43">
        <f>AVERAGE(F228:F275)</f>
        <v>6.2061689319183272E-4</v>
      </c>
      <c r="J226" s="44"/>
      <c r="K226" s="44"/>
      <c r="L226" s="43"/>
    </row>
    <row r="227" spans="1:12" ht="38.25" customHeight="1">
      <c r="A227" s="145" t="s">
        <v>3700</v>
      </c>
      <c r="B227" s="145"/>
      <c r="C227" s="13"/>
      <c r="D227" s="16"/>
      <c r="E227" s="9"/>
      <c r="F227" s="16"/>
      <c r="G227" s="40"/>
      <c r="H227" s="16"/>
      <c r="I227" s="16"/>
      <c r="J227" s="9"/>
      <c r="K227" s="9"/>
      <c r="L227" s="16"/>
    </row>
    <row r="228" spans="1:12">
      <c r="A228" s="1" t="s">
        <v>3701</v>
      </c>
      <c r="B228" s="7">
        <v>20.8</v>
      </c>
      <c r="C228" s="7">
        <v>19.649999999999999</v>
      </c>
      <c r="D228" s="16">
        <f t="shared" ref="D228:D242" si="12">(C228-B228)/B228</f>
        <v>-5.528846153846164E-2</v>
      </c>
      <c r="E228" s="9">
        <v>19.649999999999999</v>
      </c>
      <c r="F228" s="16">
        <f t="shared" ref="F228:F242" si="13">(C228-E228)/E228</f>
        <v>0</v>
      </c>
      <c r="G228" s="40"/>
      <c r="H228" s="16"/>
      <c r="I228" s="16"/>
      <c r="J228" s="9"/>
      <c r="K228" s="9"/>
      <c r="L228" s="16"/>
    </row>
    <row r="229" spans="1:12">
      <c r="A229" s="1" t="s">
        <v>3702</v>
      </c>
      <c r="B229" s="7">
        <v>20.8</v>
      </c>
      <c r="C229" s="7">
        <v>19.649999999999999</v>
      </c>
      <c r="D229" s="16">
        <f t="shared" si="12"/>
        <v>-5.528846153846164E-2</v>
      </c>
      <c r="E229" s="9">
        <v>19.649999999999999</v>
      </c>
      <c r="F229" s="16">
        <f t="shared" si="13"/>
        <v>0</v>
      </c>
      <c r="G229" s="40"/>
      <c r="H229" s="16"/>
      <c r="I229" s="16"/>
      <c r="J229" s="9"/>
      <c r="K229" s="9"/>
      <c r="L229" s="16"/>
    </row>
    <row r="230" spans="1:12">
      <c r="A230" s="1" t="s">
        <v>3703</v>
      </c>
      <c r="B230" s="7">
        <v>20.8</v>
      </c>
      <c r="C230" s="7">
        <v>19.649999999999999</v>
      </c>
      <c r="D230" s="16">
        <f t="shared" si="12"/>
        <v>-5.528846153846164E-2</v>
      </c>
      <c r="E230" s="9">
        <v>19.649999999999999</v>
      </c>
      <c r="F230" s="16">
        <f t="shared" si="13"/>
        <v>0</v>
      </c>
      <c r="G230" s="40"/>
      <c r="H230" s="16"/>
      <c r="I230" s="16"/>
      <c r="J230" s="9"/>
      <c r="K230" s="9"/>
      <c r="L230" s="16"/>
    </row>
    <row r="231" spans="1:12">
      <c r="A231" s="1" t="s">
        <v>3704</v>
      </c>
      <c r="B231" s="7">
        <v>20.8</v>
      </c>
      <c r="C231" s="7">
        <v>19.649999999999999</v>
      </c>
      <c r="D231" s="16">
        <f t="shared" si="12"/>
        <v>-5.528846153846164E-2</v>
      </c>
      <c r="E231" s="9">
        <v>19.649999999999999</v>
      </c>
      <c r="F231" s="16">
        <f t="shared" si="13"/>
        <v>0</v>
      </c>
      <c r="G231" s="40"/>
      <c r="H231" s="16"/>
      <c r="I231" s="16"/>
      <c r="J231" s="9"/>
      <c r="K231" s="9"/>
      <c r="L231" s="16"/>
    </row>
    <row r="232" spans="1:12">
      <c r="A232" s="1" t="s">
        <v>3705</v>
      </c>
      <c r="B232" s="7">
        <v>20.8</v>
      </c>
      <c r="C232" s="7">
        <v>19.649999999999999</v>
      </c>
      <c r="D232" s="16">
        <f t="shared" si="12"/>
        <v>-5.528846153846164E-2</v>
      </c>
      <c r="E232" s="9">
        <v>19.649999999999999</v>
      </c>
      <c r="F232" s="16">
        <f t="shared" si="13"/>
        <v>0</v>
      </c>
      <c r="G232" s="40"/>
      <c r="H232" s="16"/>
      <c r="I232" s="16"/>
      <c r="J232" s="9"/>
      <c r="K232" s="9"/>
      <c r="L232" s="16"/>
    </row>
    <row r="233" spans="1:12">
      <c r="A233" s="1" t="s">
        <v>3706</v>
      </c>
      <c r="B233" s="7">
        <v>20.8</v>
      </c>
      <c r="C233" s="7">
        <v>19.649999999999999</v>
      </c>
      <c r="D233" s="16">
        <f t="shared" si="12"/>
        <v>-5.528846153846164E-2</v>
      </c>
      <c r="E233" s="9">
        <v>19.649999999999999</v>
      </c>
      <c r="F233" s="16">
        <f t="shared" si="13"/>
        <v>0</v>
      </c>
      <c r="G233" s="40"/>
      <c r="H233" s="16"/>
      <c r="I233" s="16"/>
      <c r="J233" s="9"/>
      <c r="K233" s="9"/>
      <c r="L233" s="16"/>
    </row>
    <row r="234" spans="1:12">
      <c r="A234" s="1" t="s">
        <v>3707</v>
      </c>
      <c r="B234" s="7">
        <v>20.8</v>
      </c>
      <c r="C234" s="7">
        <v>19.649999999999999</v>
      </c>
      <c r="D234" s="16">
        <f t="shared" si="12"/>
        <v>-5.528846153846164E-2</v>
      </c>
      <c r="E234" s="9">
        <v>19.649999999999999</v>
      </c>
      <c r="F234" s="16">
        <f t="shared" si="13"/>
        <v>0</v>
      </c>
      <c r="G234" s="40"/>
      <c r="H234" s="16"/>
      <c r="I234" s="16"/>
      <c r="J234" s="9"/>
      <c r="K234" s="9"/>
      <c r="L234" s="16"/>
    </row>
    <row r="235" spans="1:12">
      <c r="A235" s="1" t="s">
        <v>3708</v>
      </c>
      <c r="B235" s="7">
        <v>20.8</v>
      </c>
      <c r="C235" s="7">
        <v>19.649999999999999</v>
      </c>
      <c r="D235" s="16">
        <f t="shared" si="12"/>
        <v>-5.528846153846164E-2</v>
      </c>
      <c r="E235" s="9">
        <v>19.649999999999999</v>
      </c>
      <c r="F235" s="16">
        <f t="shared" si="13"/>
        <v>0</v>
      </c>
      <c r="G235" s="40"/>
      <c r="H235" s="16"/>
      <c r="I235" s="16"/>
      <c r="J235" s="9"/>
      <c r="K235" s="9"/>
      <c r="L235" s="16"/>
    </row>
    <row r="236" spans="1:12">
      <c r="A236" s="1" t="s">
        <v>3709</v>
      </c>
      <c r="B236" s="7">
        <v>20.8</v>
      </c>
      <c r="C236" s="7">
        <v>19.649999999999999</v>
      </c>
      <c r="D236" s="16">
        <f t="shared" si="12"/>
        <v>-5.528846153846164E-2</v>
      </c>
      <c r="E236" s="9">
        <v>19.649999999999999</v>
      </c>
      <c r="F236" s="16">
        <f t="shared" si="13"/>
        <v>0</v>
      </c>
      <c r="G236" s="40"/>
      <c r="H236" s="16"/>
      <c r="I236" s="16"/>
      <c r="J236" s="9"/>
      <c r="K236" s="9"/>
      <c r="L236" s="16"/>
    </row>
    <row r="237" spans="1:12">
      <c r="A237" s="1" t="s">
        <v>3710</v>
      </c>
      <c r="B237" s="7">
        <v>20.8</v>
      </c>
      <c r="C237" s="7">
        <v>19.649999999999999</v>
      </c>
      <c r="D237" s="16">
        <f t="shared" si="12"/>
        <v>-5.528846153846164E-2</v>
      </c>
      <c r="E237" s="9">
        <v>19.649999999999999</v>
      </c>
      <c r="F237" s="16">
        <f t="shared" si="13"/>
        <v>0</v>
      </c>
      <c r="G237" s="40"/>
      <c r="H237" s="16"/>
      <c r="I237" s="16"/>
      <c r="J237" s="9"/>
      <c r="K237" s="9"/>
      <c r="L237" s="16"/>
    </row>
    <row r="238" spans="1:12">
      <c r="A238" s="1" t="s">
        <v>3711</v>
      </c>
      <c r="B238" s="7">
        <v>20.8</v>
      </c>
      <c r="C238" s="7">
        <v>19.649999999999999</v>
      </c>
      <c r="D238" s="16">
        <f t="shared" si="12"/>
        <v>-5.528846153846164E-2</v>
      </c>
      <c r="E238" s="9">
        <v>19.649999999999999</v>
      </c>
      <c r="F238" s="16">
        <f t="shared" si="13"/>
        <v>0</v>
      </c>
      <c r="G238" s="40"/>
      <c r="H238" s="16"/>
      <c r="I238" s="16"/>
      <c r="J238" s="9"/>
      <c r="K238" s="9"/>
      <c r="L238" s="16"/>
    </row>
    <row r="239" spans="1:12">
      <c r="A239" s="6" t="s">
        <v>3712</v>
      </c>
      <c r="B239" s="7"/>
      <c r="C239" s="7"/>
      <c r="D239" s="16"/>
      <c r="E239" s="9"/>
      <c r="F239" s="16"/>
      <c r="G239" s="40"/>
      <c r="H239" s="16"/>
      <c r="I239" s="16"/>
      <c r="J239" s="9"/>
      <c r="K239" s="9"/>
      <c r="L239" s="16"/>
    </row>
    <row r="240" spans="1:12">
      <c r="A240" s="1" t="s">
        <v>3713</v>
      </c>
      <c r="B240" s="7">
        <v>20.8</v>
      </c>
      <c r="C240" s="7">
        <v>19.649999999999999</v>
      </c>
      <c r="D240" s="16">
        <f t="shared" si="12"/>
        <v>-5.528846153846164E-2</v>
      </c>
      <c r="E240" s="9">
        <v>19.649999999999999</v>
      </c>
      <c r="F240" s="16">
        <f t="shared" si="13"/>
        <v>0</v>
      </c>
      <c r="G240" s="40"/>
      <c r="H240" s="16"/>
      <c r="I240" s="16"/>
      <c r="J240" s="9"/>
      <c r="K240" s="9"/>
      <c r="L240" s="16"/>
    </row>
    <row r="241" spans="1:12">
      <c r="A241" s="1" t="s">
        <v>3714</v>
      </c>
      <c r="B241" s="7">
        <v>20.8</v>
      </c>
      <c r="C241" s="7">
        <v>19.649999999999999</v>
      </c>
      <c r="D241" s="16">
        <f t="shared" si="12"/>
        <v>-5.528846153846164E-2</v>
      </c>
      <c r="E241" s="9">
        <v>19.649999999999999</v>
      </c>
      <c r="F241" s="16">
        <f t="shared" si="13"/>
        <v>0</v>
      </c>
      <c r="G241" s="40"/>
      <c r="H241" s="16"/>
      <c r="I241" s="16"/>
      <c r="J241" s="9"/>
      <c r="K241" s="9"/>
      <c r="L241" s="16"/>
    </row>
    <row r="242" spans="1:12">
      <c r="A242" s="1" t="s">
        <v>3715</v>
      </c>
      <c r="B242" s="7">
        <v>20.8</v>
      </c>
      <c r="C242" s="7">
        <v>19.649999999999999</v>
      </c>
      <c r="D242" s="16">
        <f t="shared" si="12"/>
        <v>-5.528846153846164E-2</v>
      </c>
      <c r="E242" s="9">
        <v>19.649999999999999</v>
      </c>
      <c r="F242" s="16">
        <f t="shared" si="13"/>
        <v>0</v>
      </c>
      <c r="G242" s="40"/>
      <c r="H242" s="16"/>
      <c r="I242" s="16"/>
      <c r="J242" s="9"/>
      <c r="K242" s="9"/>
      <c r="L242" s="16"/>
    </row>
    <row r="243" spans="1:12">
      <c r="A243" s="6" t="s">
        <v>3716</v>
      </c>
      <c r="B243" s="7"/>
      <c r="C243" s="7"/>
      <c r="D243" s="16"/>
      <c r="E243" s="9"/>
      <c r="F243" s="16"/>
      <c r="G243" s="40"/>
      <c r="H243" s="16"/>
      <c r="I243" s="16"/>
      <c r="J243" s="9"/>
      <c r="K243" s="9"/>
      <c r="L243" s="16"/>
    </row>
    <row r="244" spans="1:12" ht="25.5">
      <c r="A244" s="1" t="s">
        <v>3717</v>
      </c>
      <c r="B244" s="7"/>
      <c r="C244" s="7"/>
      <c r="D244" s="16"/>
      <c r="E244" s="9"/>
      <c r="F244" s="16"/>
      <c r="G244" s="40"/>
      <c r="H244" s="16"/>
      <c r="I244" s="16"/>
      <c r="J244" s="9"/>
      <c r="K244" s="9"/>
      <c r="L244" s="16"/>
    </row>
    <row r="245" spans="1:12" ht="25.5">
      <c r="A245" s="1" t="s">
        <v>3718</v>
      </c>
      <c r="B245" s="7"/>
      <c r="C245" s="7">
        <v>19.649999999999999</v>
      </c>
      <c r="D245" s="16">
        <v>1</v>
      </c>
      <c r="E245" s="9">
        <v>19.649999999999999</v>
      </c>
      <c r="F245" s="16">
        <f>(C245-E245)/E245</f>
        <v>0</v>
      </c>
      <c r="G245" s="40"/>
      <c r="H245" s="16"/>
      <c r="I245" s="16"/>
      <c r="J245" s="9"/>
      <c r="K245" s="9"/>
      <c r="L245" s="16"/>
    </row>
    <row r="246" spans="1:12">
      <c r="A246" s="1" t="s">
        <v>3719</v>
      </c>
      <c r="B246" s="7"/>
      <c r="C246" s="7"/>
      <c r="D246" s="16"/>
      <c r="E246" s="9"/>
      <c r="F246" s="16"/>
      <c r="G246" s="40"/>
      <c r="H246" s="16"/>
      <c r="I246" s="16"/>
      <c r="J246" s="9"/>
      <c r="K246" s="9"/>
      <c r="L246" s="16"/>
    </row>
    <row r="247" spans="1:12">
      <c r="A247" s="6" t="s">
        <v>3720</v>
      </c>
      <c r="B247" s="7"/>
      <c r="C247" s="7"/>
      <c r="D247" s="16"/>
      <c r="E247" s="9"/>
      <c r="F247" s="16"/>
      <c r="G247" s="40"/>
      <c r="H247" s="16"/>
      <c r="I247" s="16"/>
      <c r="J247" s="9"/>
      <c r="K247" s="9"/>
      <c r="L247" s="16"/>
    </row>
    <row r="248" spans="1:12">
      <c r="A248" s="1" t="s">
        <v>3721</v>
      </c>
      <c r="B248" s="7">
        <v>20.8</v>
      </c>
      <c r="C248" s="7">
        <v>19.649999999999999</v>
      </c>
      <c r="D248" s="16">
        <f t="shared" ref="D248:D275" si="14">(C248-B248)/B248</f>
        <v>-5.528846153846164E-2</v>
      </c>
      <c r="E248" s="9">
        <v>19.649999999999999</v>
      </c>
      <c r="F248" s="16">
        <f t="shared" ref="F248:F275" si="15">(C248-E248)/E248</f>
        <v>0</v>
      </c>
      <c r="G248" s="40"/>
      <c r="H248" s="16"/>
      <c r="I248" s="16"/>
      <c r="J248" s="9"/>
      <c r="K248" s="9"/>
      <c r="L248" s="16"/>
    </row>
    <row r="249" spans="1:12">
      <c r="A249" s="1" t="s">
        <v>3722</v>
      </c>
      <c r="B249" s="7">
        <v>20.8</v>
      </c>
      <c r="C249" s="7">
        <v>19.649999999999999</v>
      </c>
      <c r="D249" s="16">
        <f t="shared" si="14"/>
        <v>-5.528846153846164E-2</v>
      </c>
      <c r="E249" s="9">
        <v>19.649999999999999</v>
      </c>
      <c r="F249" s="16">
        <f t="shared" si="15"/>
        <v>0</v>
      </c>
      <c r="G249" s="40"/>
      <c r="H249" s="16"/>
      <c r="I249" s="16"/>
      <c r="J249" s="9"/>
      <c r="K249" s="9"/>
      <c r="L249" s="16"/>
    </row>
    <row r="250" spans="1:12" ht="89.25">
      <c r="A250" s="1" t="s">
        <v>3723</v>
      </c>
      <c r="B250" s="7">
        <v>20.8</v>
      </c>
      <c r="C250" s="7">
        <v>19.649999999999999</v>
      </c>
      <c r="D250" s="16">
        <f t="shared" si="14"/>
        <v>-5.528846153846164E-2</v>
      </c>
      <c r="E250" s="9">
        <v>19.649999999999999</v>
      </c>
      <c r="F250" s="16">
        <f t="shared" si="15"/>
        <v>0</v>
      </c>
      <c r="G250" s="40"/>
      <c r="H250" s="16"/>
      <c r="I250" s="16"/>
      <c r="J250" s="9"/>
      <c r="K250" s="9"/>
      <c r="L250" s="16"/>
    </row>
    <row r="251" spans="1:12">
      <c r="A251" s="1" t="s">
        <v>3724</v>
      </c>
      <c r="B251" s="7">
        <v>20.8</v>
      </c>
      <c r="C251" s="7">
        <v>19.649999999999999</v>
      </c>
      <c r="D251" s="16">
        <f t="shared" si="14"/>
        <v>-5.528846153846164E-2</v>
      </c>
      <c r="E251" s="9">
        <v>19.649999999999999</v>
      </c>
      <c r="F251" s="16">
        <f t="shared" si="15"/>
        <v>0</v>
      </c>
      <c r="G251" s="40"/>
      <c r="H251" s="16"/>
      <c r="I251" s="16"/>
      <c r="J251" s="9"/>
      <c r="K251" s="9"/>
      <c r="L251" s="16"/>
    </row>
    <row r="252" spans="1:12" ht="25.5">
      <c r="A252" s="1" t="s">
        <v>3725</v>
      </c>
      <c r="B252" s="7">
        <v>20.8</v>
      </c>
      <c r="C252" s="7">
        <v>19.649999999999999</v>
      </c>
      <c r="D252" s="16">
        <f t="shared" si="14"/>
        <v>-5.528846153846164E-2</v>
      </c>
      <c r="E252" s="9">
        <v>19.649999999999999</v>
      </c>
      <c r="F252" s="16">
        <f t="shared" si="15"/>
        <v>0</v>
      </c>
      <c r="G252" s="40"/>
      <c r="H252" s="16"/>
      <c r="I252" s="16"/>
      <c r="J252" s="9"/>
      <c r="K252" s="9"/>
      <c r="L252" s="16"/>
    </row>
    <row r="253" spans="1:12">
      <c r="A253" s="1" t="s">
        <v>3726</v>
      </c>
      <c r="B253" s="7">
        <v>20.8</v>
      </c>
      <c r="C253" s="7">
        <v>19.649999999999999</v>
      </c>
      <c r="D253" s="16">
        <f t="shared" si="14"/>
        <v>-5.528846153846164E-2</v>
      </c>
      <c r="E253" s="9">
        <v>19.649999999999999</v>
      </c>
      <c r="F253" s="16">
        <f t="shared" si="15"/>
        <v>0</v>
      </c>
      <c r="G253" s="40"/>
      <c r="H253" s="16"/>
      <c r="I253" s="16"/>
      <c r="J253" s="9"/>
      <c r="K253" s="9"/>
      <c r="L253" s="16"/>
    </row>
    <row r="254" spans="1:12">
      <c r="A254" s="1" t="s">
        <v>3727</v>
      </c>
      <c r="B254" s="7">
        <v>20.8</v>
      </c>
      <c r="C254" s="7">
        <v>19.649999999999999</v>
      </c>
      <c r="D254" s="16">
        <f t="shared" si="14"/>
        <v>-5.528846153846164E-2</v>
      </c>
      <c r="E254" s="9">
        <v>19.649999999999999</v>
      </c>
      <c r="F254" s="16">
        <f t="shared" si="15"/>
        <v>0</v>
      </c>
      <c r="G254" s="40"/>
      <c r="H254" s="16"/>
      <c r="I254" s="16"/>
      <c r="J254" s="9"/>
      <c r="K254" s="9"/>
      <c r="L254" s="16"/>
    </row>
    <row r="255" spans="1:12">
      <c r="A255" s="1" t="s">
        <v>3728</v>
      </c>
      <c r="B255" s="7">
        <v>20.8</v>
      </c>
      <c r="C255" s="7">
        <v>19.649999999999999</v>
      </c>
      <c r="D255" s="16">
        <f t="shared" si="14"/>
        <v>-5.528846153846164E-2</v>
      </c>
      <c r="E255" s="9">
        <v>19.649999999999999</v>
      </c>
      <c r="F255" s="16">
        <f t="shared" si="15"/>
        <v>0</v>
      </c>
      <c r="G255" s="40"/>
      <c r="H255" s="16"/>
      <c r="I255" s="16"/>
      <c r="J255" s="9"/>
      <c r="K255" s="9"/>
      <c r="L255" s="16"/>
    </row>
    <row r="256" spans="1:12">
      <c r="A256" s="6" t="s">
        <v>3729</v>
      </c>
      <c r="B256" s="7"/>
      <c r="C256" s="7"/>
      <c r="D256" s="16"/>
      <c r="E256" s="9"/>
      <c r="F256" s="16"/>
      <c r="G256" s="40"/>
      <c r="H256" s="16"/>
      <c r="I256" s="16"/>
      <c r="J256" s="9"/>
      <c r="K256" s="9"/>
      <c r="L256" s="16"/>
    </row>
    <row r="257" spans="1:12">
      <c r="A257" s="1" t="s">
        <v>3730</v>
      </c>
      <c r="B257" s="7">
        <v>20.8</v>
      </c>
      <c r="C257" s="7">
        <v>19.649999999999999</v>
      </c>
      <c r="D257" s="16">
        <f t="shared" si="14"/>
        <v>-5.528846153846164E-2</v>
      </c>
      <c r="E257" s="9">
        <v>19.649999999999999</v>
      </c>
      <c r="F257" s="16">
        <f t="shared" si="15"/>
        <v>0</v>
      </c>
      <c r="G257" s="40"/>
      <c r="H257" s="16"/>
      <c r="I257" s="16"/>
      <c r="J257" s="9"/>
      <c r="K257" s="9"/>
      <c r="L257" s="16"/>
    </row>
    <row r="258" spans="1:12">
      <c r="A258" s="1" t="s">
        <v>3731</v>
      </c>
      <c r="B258" s="7">
        <v>20.8</v>
      </c>
      <c r="C258" s="7">
        <v>19.649999999999999</v>
      </c>
      <c r="D258" s="16">
        <f t="shared" si="14"/>
        <v>-5.528846153846164E-2</v>
      </c>
      <c r="E258" s="9">
        <v>19.649999999999999</v>
      </c>
      <c r="F258" s="16">
        <f t="shared" si="15"/>
        <v>0</v>
      </c>
      <c r="G258" s="40"/>
      <c r="H258" s="16"/>
      <c r="I258" s="16"/>
      <c r="J258" s="9"/>
      <c r="K258" s="9"/>
      <c r="L258" s="16"/>
    </row>
    <row r="259" spans="1:12" ht="25.5">
      <c r="A259" s="1" t="s">
        <v>3732</v>
      </c>
      <c r="B259" s="7">
        <v>20.8</v>
      </c>
      <c r="C259" s="7">
        <v>19.649999999999999</v>
      </c>
      <c r="D259" s="16">
        <f t="shared" si="14"/>
        <v>-5.528846153846164E-2</v>
      </c>
      <c r="E259" s="9">
        <v>19.649999999999999</v>
      </c>
      <c r="F259" s="16">
        <f t="shared" si="15"/>
        <v>0</v>
      </c>
      <c r="G259" s="40"/>
      <c r="H259" s="16"/>
      <c r="I259" s="16"/>
      <c r="J259" s="9"/>
      <c r="K259" s="9"/>
      <c r="L259" s="16"/>
    </row>
    <row r="260" spans="1:12">
      <c r="A260" s="1" t="s">
        <v>3733</v>
      </c>
      <c r="B260" s="7">
        <v>20.8</v>
      </c>
      <c r="C260" s="7">
        <v>19.649999999999999</v>
      </c>
      <c r="D260" s="16">
        <f t="shared" si="14"/>
        <v>-5.528846153846164E-2</v>
      </c>
      <c r="E260" s="9">
        <v>19.649999999999999</v>
      </c>
      <c r="F260" s="16">
        <f t="shared" si="15"/>
        <v>0</v>
      </c>
      <c r="G260" s="40"/>
      <c r="H260" s="16"/>
      <c r="I260" s="16"/>
      <c r="J260" s="9"/>
      <c r="K260" s="9"/>
      <c r="L260" s="16"/>
    </row>
    <row r="261" spans="1:12">
      <c r="A261" s="6" t="s">
        <v>3734</v>
      </c>
      <c r="B261" s="7"/>
      <c r="C261" s="7"/>
      <c r="D261" s="16"/>
      <c r="E261" s="9"/>
      <c r="F261" s="16"/>
      <c r="G261" s="40"/>
      <c r="H261" s="16"/>
      <c r="I261" s="16"/>
      <c r="J261" s="9"/>
      <c r="K261" s="9"/>
      <c r="L261" s="16"/>
    </row>
    <row r="262" spans="1:12">
      <c r="A262" s="1" t="s">
        <v>3735</v>
      </c>
      <c r="B262" s="7">
        <v>20.8</v>
      </c>
      <c r="C262" s="7">
        <v>19.649999999999999</v>
      </c>
      <c r="D262" s="16">
        <f t="shared" si="14"/>
        <v>-5.528846153846164E-2</v>
      </c>
      <c r="E262" s="9">
        <v>19.649999999999999</v>
      </c>
      <c r="F262" s="16">
        <f t="shared" si="15"/>
        <v>0</v>
      </c>
      <c r="G262" s="40"/>
      <c r="H262" s="16"/>
      <c r="I262" s="16"/>
      <c r="J262" s="9"/>
      <c r="K262" s="9"/>
      <c r="L262" s="16"/>
    </row>
    <row r="263" spans="1:12">
      <c r="A263" s="1" t="s">
        <v>3736</v>
      </c>
      <c r="B263" s="7">
        <v>20.8</v>
      </c>
      <c r="C263" s="7">
        <v>19.649999999999999</v>
      </c>
      <c r="D263" s="16">
        <f t="shared" si="14"/>
        <v>-5.528846153846164E-2</v>
      </c>
      <c r="E263" s="9">
        <v>19.649999999999999</v>
      </c>
      <c r="F263" s="16">
        <f t="shared" si="15"/>
        <v>0</v>
      </c>
      <c r="G263" s="40"/>
      <c r="H263" s="16"/>
      <c r="I263" s="16"/>
      <c r="J263" s="9"/>
      <c r="K263" s="9"/>
      <c r="L263" s="16"/>
    </row>
    <row r="264" spans="1:12">
      <c r="A264" s="1" t="s">
        <v>3737</v>
      </c>
      <c r="B264" s="7">
        <v>20.8</v>
      </c>
      <c r="C264" s="7">
        <v>19.649999999999999</v>
      </c>
      <c r="D264" s="16">
        <f t="shared" si="14"/>
        <v>-5.528846153846164E-2</v>
      </c>
      <c r="E264" s="9">
        <v>19.649999999999999</v>
      </c>
      <c r="F264" s="16">
        <f t="shared" si="15"/>
        <v>0</v>
      </c>
      <c r="G264" s="40"/>
      <c r="H264" s="16"/>
      <c r="I264" s="16"/>
      <c r="J264" s="9"/>
      <c r="K264" s="9"/>
      <c r="L264" s="16"/>
    </row>
    <row r="265" spans="1:12">
      <c r="A265" s="1" t="s">
        <v>3738</v>
      </c>
      <c r="B265" s="7">
        <v>20.8</v>
      </c>
      <c r="C265" s="7">
        <v>19.649999999999999</v>
      </c>
      <c r="D265" s="16">
        <f t="shared" si="14"/>
        <v>-5.528846153846164E-2</v>
      </c>
      <c r="E265" s="9">
        <v>19.649999999999999</v>
      </c>
      <c r="F265" s="16">
        <f t="shared" si="15"/>
        <v>0</v>
      </c>
      <c r="G265" s="40"/>
      <c r="H265" s="16"/>
      <c r="I265" s="16"/>
      <c r="J265" s="9"/>
      <c r="K265" s="9"/>
      <c r="L265" s="16"/>
    </row>
    <row r="266" spans="1:12">
      <c r="A266" s="1" t="s">
        <v>3739</v>
      </c>
      <c r="B266" s="7">
        <v>20.8</v>
      </c>
      <c r="C266" s="7">
        <v>19.649999999999999</v>
      </c>
      <c r="D266" s="16">
        <f t="shared" si="14"/>
        <v>-5.528846153846164E-2</v>
      </c>
      <c r="E266" s="9">
        <v>19.649999999999999</v>
      </c>
      <c r="F266" s="16">
        <f t="shared" si="15"/>
        <v>0</v>
      </c>
      <c r="G266" s="40"/>
      <c r="H266" s="16"/>
      <c r="I266" s="16"/>
      <c r="J266" s="9"/>
      <c r="K266" s="9"/>
      <c r="L266" s="16"/>
    </row>
    <row r="267" spans="1:12">
      <c r="A267" s="1" t="s">
        <v>3740</v>
      </c>
      <c r="B267" s="7">
        <v>20.8</v>
      </c>
      <c r="C267" s="7">
        <v>19.649999999999999</v>
      </c>
      <c r="D267" s="16">
        <f t="shared" si="14"/>
        <v>-5.528846153846164E-2</v>
      </c>
      <c r="E267" s="9">
        <v>19.649999999999999</v>
      </c>
      <c r="F267" s="16">
        <f t="shared" si="15"/>
        <v>0</v>
      </c>
      <c r="G267" s="40"/>
      <c r="H267" s="16"/>
      <c r="I267" s="16"/>
      <c r="J267" s="9"/>
      <c r="K267" s="9"/>
      <c r="L267" s="16"/>
    </row>
    <row r="268" spans="1:12">
      <c r="A268" s="1" t="s">
        <v>3741</v>
      </c>
      <c r="B268" s="7">
        <v>20.8</v>
      </c>
      <c r="C268" s="7">
        <v>19.649999999999999</v>
      </c>
      <c r="D268" s="16">
        <f t="shared" si="14"/>
        <v>-5.528846153846164E-2</v>
      </c>
      <c r="E268" s="9">
        <v>19.649999999999999</v>
      </c>
      <c r="F268" s="16">
        <f t="shared" si="15"/>
        <v>0</v>
      </c>
      <c r="G268" s="40"/>
      <c r="H268" s="16"/>
      <c r="I268" s="16"/>
      <c r="J268" s="9"/>
      <c r="K268" s="9"/>
      <c r="L268" s="16"/>
    </row>
    <row r="269" spans="1:12" ht="25.5">
      <c r="A269" s="1" t="s">
        <v>3742</v>
      </c>
      <c r="B269" s="7">
        <v>20.8</v>
      </c>
      <c r="C269" s="7">
        <v>19.649999999999999</v>
      </c>
      <c r="D269" s="16">
        <f t="shared" si="14"/>
        <v>-5.528846153846164E-2</v>
      </c>
      <c r="E269" s="9">
        <v>19.649999999999999</v>
      </c>
      <c r="F269" s="16">
        <f t="shared" si="15"/>
        <v>0</v>
      </c>
      <c r="G269" s="40"/>
      <c r="H269" s="16"/>
      <c r="I269" s="16"/>
      <c r="J269" s="9"/>
      <c r="K269" s="9"/>
      <c r="L269" s="16"/>
    </row>
    <row r="270" spans="1:12">
      <c r="A270" s="1" t="s">
        <v>3743</v>
      </c>
      <c r="B270" s="7">
        <v>20.8</v>
      </c>
      <c r="C270" s="7">
        <v>19.649999999999999</v>
      </c>
      <c r="D270" s="16">
        <f t="shared" si="14"/>
        <v>-5.528846153846164E-2</v>
      </c>
      <c r="E270" s="9">
        <v>19.649999999999999</v>
      </c>
      <c r="F270" s="16">
        <f t="shared" si="15"/>
        <v>0</v>
      </c>
      <c r="G270" s="40"/>
      <c r="H270" s="16"/>
      <c r="I270" s="16"/>
      <c r="J270" s="9"/>
      <c r="K270" s="9"/>
      <c r="L270" s="16"/>
    </row>
    <row r="271" spans="1:12">
      <c r="A271" s="1" t="s">
        <v>3744</v>
      </c>
      <c r="B271" s="7">
        <v>20.8</v>
      </c>
      <c r="C271" s="7">
        <v>19.649999999999999</v>
      </c>
      <c r="D271" s="16">
        <f t="shared" si="14"/>
        <v>-5.528846153846164E-2</v>
      </c>
      <c r="E271" s="9">
        <v>19.649999999999999</v>
      </c>
      <c r="F271" s="16">
        <f t="shared" si="15"/>
        <v>0</v>
      </c>
      <c r="G271" s="40"/>
      <c r="H271" s="16"/>
      <c r="I271" s="16"/>
      <c r="J271" s="9"/>
      <c r="K271" s="9"/>
      <c r="L271" s="16"/>
    </row>
    <row r="272" spans="1:12">
      <c r="A272" s="1" t="s">
        <v>3745</v>
      </c>
      <c r="B272" s="7">
        <v>20.8</v>
      </c>
      <c r="C272" s="7">
        <v>19.649999999999999</v>
      </c>
      <c r="D272" s="16">
        <f t="shared" si="14"/>
        <v>-5.528846153846164E-2</v>
      </c>
      <c r="E272" s="9">
        <v>19.649999999999999</v>
      </c>
      <c r="F272" s="16">
        <f t="shared" si="15"/>
        <v>0</v>
      </c>
      <c r="G272" s="40"/>
      <c r="H272" s="16"/>
      <c r="I272" s="16"/>
      <c r="J272" s="9"/>
      <c r="K272" s="9"/>
      <c r="L272" s="16"/>
    </row>
    <row r="273" spans="1:12">
      <c r="A273" s="1" t="s">
        <v>3746</v>
      </c>
      <c r="B273" s="7">
        <v>20.8</v>
      </c>
      <c r="C273" s="7">
        <v>19.649999999999999</v>
      </c>
      <c r="D273" s="16">
        <f t="shared" si="14"/>
        <v>-5.528846153846164E-2</v>
      </c>
      <c r="E273" s="9">
        <v>19.649999999999999</v>
      </c>
      <c r="F273" s="16">
        <f t="shared" si="15"/>
        <v>0</v>
      </c>
      <c r="G273" s="40"/>
      <c r="H273" s="16"/>
      <c r="I273" s="16"/>
      <c r="J273" s="9"/>
      <c r="K273" s="9"/>
      <c r="L273" s="16"/>
    </row>
    <row r="274" spans="1:12">
      <c r="A274" s="1" t="s">
        <v>3747</v>
      </c>
      <c r="B274" s="7">
        <v>20.8</v>
      </c>
      <c r="C274" s="7">
        <v>19.649999999999999</v>
      </c>
      <c r="D274" s="16">
        <f t="shared" si="14"/>
        <v>-5.528846153846164E-2</v>
      </c>
      <c r="E274" s="9">
        <v>19.649999999999999</v>
      </c>
      <c r="F274" s="16">
        <f t="shared" si="15"/>
        <v>0</v>
      </c>
      <c r="G274" s="40"/>
      <c r="H274" s="16"/>
      <c r="I274" s="16"/>
      <c r="J274" s="9"/>
      <c r="K274" s="9"/>
      <c r="L274" s="16"/>
    </row>
    <row r="275" spans="1:12">
      <c r="A275" s="2" t="s">
        <v>3748</v>
      </c>
      <c r="B275" s="10">
        <f>B274+0.5</f>
        <v>21.3</v>
      </c>
      <c r="C275" s="10">
        <f>C274+0.5</f>
        <v>20.149999999999999</v>
      </c>
      <c r="D275" s="16">
        <f t="shared" si="14"/>
        <v>-5.3990610328638597E-2</v>
      </c>
      <c r="E275" s="9">
        <v>19.649999999999999</v>
      </c>
      <c r="F275" s="16">
        <f t="shared" si="15"/>
        <v>2.5445292620865142E-2</v>
      </c>
      <c r="G275" s="40"/>
      <c r="H275" s="16"/>
      <c r="I275" s="16"/>
      <c r="J275" s="9"/>
      <c r="K275" s="9"/>
      <c r="L275" s="16"/>
    </row>
    <row r="276" spans="1:12">
      <c r="A276" s="1"/>
      <c r="B276" s="7"/>
      <c r="C276" s="7"/>
      <c r="D276" s="16"/>
      <c r="E276" s="9"/>
      <c r="F276" s="16"/>
      <c r="G276" s="40"/>
      <c r="H276" s="16"/>
      <c r="I276" s="16"/>
      <c r="J276" s="9"/>
      <c r="K276" s="9"/>
      <c r="L276" s="16"/>
    </row>
    <row r="277" spans="1:12">
      <c r="A277" s="1"/>
      <c r="B277" s="7"/>
      <c r="C277" s="7"/>
      <c r="D277" s="16"/>
      <c r="E277" s="9"/>
      <c r="F277" s="16"/>
      <c r="G277" s="40"/>
      <c r="H277" s="16"/>
      <c r="I277" s="16"/>
      <c r="J277" s="9"/>
      <c r="K277" s="9"/>
      <c r="L277" s="16"/>
    </row>
    <row r="278" spans="1:12">
      <c r="A278" s="2" t="s">
        <v>3889</v>
      </c>
      <c r="B278" s="7"/>
      <c r="C278" s="31"/>
      <c r="D278" s="43"/>
      <c r="E278" s="44"/>
      <c r="F278" s="43"/>
      <c r="G278" s="23" t="s">
        <v>3984</v>
      </c>
      <c r="H278" s="43"/>
      <c r="I278" s="43">
        <f>AVERAGE(F279)</f>
        <v>0</v>
      </c>
      <c r="J278" s="44"/>
      <c r="K278" s="44"/>
      <c r="L278" s="43"/>
    </row>
    <row r="279" spans="1:12">
      <c r="A279" s="1" t="s">
        <v>3667</v>
      </c>
      <c r="B279" s="7">
        <v>21.55</v>
      </c>
      <c r="C279" s="7">
        <v>54.49</v>
      </c>
      <c r="D279" s="16">
        <f>(C279-B279)/B279</f>
        <v>1.5285382830626448</v>
      </c>
      <c r="E279" s="9">
        <v>54.49</v>
      </c>
      <c r="F279" s="16">
        <f>(C279-E279)/E279</f>
        <v>0</v>
      </c>
      <c r="G279" s="40"/>
      <c r="H279" s="16"/>
      <c r="I279" s="16"/>
      <c r="J279" s="9"/>
      <c r="K279" s="9"/>
      <c r="L279" s="16"/>
    </row>
    <row r="280" spans="1:12">
      <c r="A280" s="1"/>
      <c r="B280" s="7"/>
      <c r="C280" s="7"/>
      <c r="D280" s="16"/>
      <c r="E280" s="9"/>
      <c r="F280" s="16"/>
      <c r="G280" s="40"/>
      <c r="H280" s="16"/>
      <c r="I280" s="16"/>
      <c r="J280" s="9"/>
      <c r="K280" s="9"/>
      <c r="L280" s="16"/>
    </row>
    <row r="281" spans="1:12" ht="63.75">
      <c r="A281" s="2" t="s">
        <v>3668</v>
      </c>
      <c r="B281" s="12" t="s">
        <v>3649</v>
      </c>
      <c r="C281" s="12" t="s">
        <v>3649</v>
      </c>
      <c r="D281" s="43"/>
      <c r="E281" s="44"/>
      <c r="F281" s="43"/>
      <c r="G281" s="23" t="s">
        <v>3984</v>
      </c>
      <c r="H281" s="43"/>
      <c r="I281" s="43">
        <f>AVERAGE(F282)</f>
        <v>2.1562766865926515E-2</v>
      </c>
      <c r="J281" s="44"/>
      <c r="K281" s="44"/>
      <c r="L281" s="43"/>
    </row>
    <row r="282" spans="1:12" ht="25.5">
      <c r="A282" s="1" t="s">
        <v>3670</v>
      </c>
      <c r="B282" s="7">
        <v>46.1</v>
      </c>
      <c r="C282" s="7">
        <v>47.85</v>
      </c>
      <c r="D282" s="16">
        <f>(C282-B282)/B282</f>
        <v>3.7960954446854663E-2</v>
      </c>
      <c r="E282" s="9">
        <v>46.84</v>
      </c>
      <c r="F282" s="16">
        <f>(C282-E282)/E282</f>
        <v>2.1562766865926515E-2</v>
      </c>
      <c r="H282" s="16"/>
      <c r="I282" s="16"/>
      <c r="J282" s="9"/>
      <c r="K282" s="9"/>
      <c r="L282" s="16"/>
    </row>
    <row r="283" spans="1:12">
      <c r="A283" s="1"/>
      <c r="B283" s="7"/>
      <c r="C283" s="7"/>
      <c r="D283" s="16"/>
      <c r="E283" s="9"/>
      <c r="F283" s="16"/>
      <c r="G283" s="40"/>
      <c r="H283" s="16"/>
      <c r="I283" s="16"/>
      <c r="J283" s="9"/>
      <c r="K283" s="9"/>
      <c r="L283" s="16"/>
    </row>
    <row r="284" spans="1:12">
      <c r="A284" s="2" t="s">
        <v>3671</v>
      </c>
      <c r="B284" s="7"/>
      <c r="C284" s="31" t="s">
        <v>3487</v>
      </c>
      <c r="D284" s="43"/>
      <c r="E284" s="44"/>
      <c r="F284" s="43"/>
      <c r="G284" s="23" t="s">
        <v>3983</v>
      </c>
      <c r="H284" s="43">
        <f>AVERAGE(F285:F288)</f>
        <v>-2.9934847684451788E-3</v>
      </c>
      <c r="I284" s="43"/>
      <c r="J284" s="44"/>
      <c r="K284" s="44"/>
      <c r="L284" s="43"/>
    </row>
    <row r="285" spans="1:12">
      <c r="A285" s="1" t="s">
        <v>3672</v>
      </c>
      <c r="B285" s="7">
        <v>44.65</v>
      </c>
      <c r="C285" s="7">
        <v>56.62</v>
      </c>
      <c r="D285" s="16">
        <f>(C285-B285)/B285</f>
        <v>0.26808510638297872</v>
      </c>
      <c r="E285" s="9">
        <v>56.79</v>
      </c>
      <c r="F285" s="16">
        <f>(C285-E285)/E285</f>
        <v>-2.9934847684451788E-3</v>
      </c>
      <c r="G285" s="40"/>
      <c r="H285" s="16"/>
      <c r="I285" s="16"/>
      <c r="J285" s="9"/>
      <c r="K285" s="9"/>
      <c r="L285" s="16"/>
    </row>
    <row r="286" spans="1:12">
      <c r="A286" s="1"/>
      <c r="B286" s="7"/>
      <c r="C286" s="7"/>
      <c r="D286" s="16"/>
      <c r="E286" s="9"/>
      <c r="F286" s="16"/>
      <c r="G286" s="40"/>
      <c r="H286" s="16"/>
      <c r="I286" s="16"/>
      <c r="J286" s="9"/>
      <c r="K286" s="9"/>
      <c r="L286" s="16"/>
    </row>
    <row r="287" spans="1:12">
      <c r="A287" s="2" t="s">
        <v>3673</v>
      </c>
      <c r="B287" s="7"/>
      <c r="C287" s="31" t="s">
        <v>3487</v>
      </c>
      <c r="D287" s="43"/>
      <c r="E287" s="44"/>
      <c r="F287" s="43"/>
      <c r="G287" s="23"/>
      <c r="H287" s="43"/>
      <c r="I287" s="43"/>
      <c r="J287" s="44"/>
      <c r="K287" s="44"/>
      <c r="L287" s="43"/>
    </row>
    <row r="288" spans="1:12">
      <c r="A288" s="1" t="s">
        <v>3674</v>
      </c>
      <c r="B288" s="7">
        <v>44.65</v>
      </c>
      <c r="C288" s="7">
        <v>56.62</v>
      </c>
      <c r="D288" s="16">
        <f>(C288-B288)/B288</f>
        <v>0.26808510638297872</v>
      </c>
      <c r="E288" s="9">
        <v>56.79</v>
      </c>
      <c r="F288" s="16">
        <f>(C288-E288)/E288</f>
        <v>-2.9934847684451788E-3</v>
      </c>
      <c r="G288" s="40"/>
      <c r="H288" s="16"/>
      <c r="I288" s="16"/>
      <c r="J288" s="9"/>
      <c r="K288" s="9"/>
      <c r="L288" s="16"/>
    </row>
    <row r="291" spans="1:7">
      <c r="A291" s="8" t="s">
        <v>3988</v>
      </c>
      <c r="B291" s="7"/>
      <c r="D291" s="16"/>
      <c r="E291" s="40"/>
      <c r="G291" s="40"/>
    </row>
    <row r="292" spans="1:7">
      <c r="A292" s="1" t="s">
        <v>3986</v>
      </c>
      <c r="B292" s="7"/>
      <c r="D292" s="16"/>
      <c r="G292" s="40">
        <f>COUNTIF(G4:G288,"Y")</f>
        <v>27</v>
      </c>
    </row>
    <row r="293" spans="1:7">
      <c r="A293" s="1" t="s">
        <v>3987</v>
      </c>
      <c r="B293" s="7"/>
      <c r="D293" s="16"/>
      <c r="G293" s="41">
        <f>COUNTIF(G5:G289,"N")</f>
        <v>11</v>
      </c>
    </row>
    <row r="294" spans="1:7">
      <c r="A294" s="8" t="s">
        <v>3985</v>
      </c>
      <c r="B294"/>
      <c r="D294" s="16"/>
      <c r="G294" s="23">
        <f>SUM(G292:G293)</f>
        <v>38</v>
      </c>
    </row>
  </sheetData>
  <mergeCells count="24">
    <mergeCell ref="A227:B227"/>
    <mergeCell ref="A178:B178"/>
    <mergeCell ref="A179:B179"/>
    <mergeCell ref="A182:B182"/>
    <mergeCell ref="B148:B149"/>
    <mergeCell ref="A167:B167"/>
    <mergeCell ref="A168:B168"/>
    <mergeCell ref="A177:B177"/>
    <mergeCell ref="C131:C132"/>
    <mergeCell ref="C148:C149"/>
    <mergeCell ref="A29:B29"/>
    <mergeCell ref="A30:B30"/>
    <mergeCell ref="A67:B67"/>
    <mergeCell ref="A71:B71"/>
    <mergeCell ref="C82:C83"/>
    <mergeCell ref="C110:C111"/>
    <mergeCell ref="A109:B109"/>
    <mergeCell ref="B110:B111"/>
    <mergeCell ref="A130:B130"/>
    <mergeCell ref="B131:B132"/>
    <mergeCell ref="A81:B81"/>
    <mergeCell ref="B82:B83"/>
    <mergeCell ref="A98:B98"/>
    <mergeCell ref="A103:B103"/>
  </mergeCells>
  <phoneticPr fontId="2" type="noConversion"/>
  <hyperlinks>
    <hyperlink ref="A1" r:id="rId1" display="http://www.laborcommissioner.com/10rates/pershing.html"/>
    <hyperlink ref="B4" location="SHEET" display="SHEET"/>
    <hyperlink ref="B17" location="brick zone" display="brick zone"/>
    <hyperlink ref="B22" location="carp zone" display="carp zone"/>
    <hyperlink ref="B52" location="laborer zone" display="laborer zone"/>
    <hyperlink ref="B55" location="laborer zone" display="laborer zone"/>
    <hyperlink ref="B65" location="laborer zone" display="laborer zone"/>
    <hyperlink ref="B68" location="Hod Brick Zone" display="Hod Brick Zone"/>
    <hyperlink ref="B72" location="Hod Plaster Zone" display="Hod Plaster Zone"/>
    <hyperlink ref="B77" r:id="rId2" display="http://www.laborcommissioner.com/10rates/2010 Amendments/2010Amendment1.htm"/>
    <hyperlink ref="A83" location="laborer group" display="laborer group"/>
    <hyperlink ref="B82" location="laborer zone" display="laborer zone"/>
    <hyperlink ref="B99" r:id="rId3" display="http://www.laborcommissioner.com/10rates/2010 Amendments/2010Amendment2.htm"/>
    <hyperlink ref="A111" location="OP GROUPS" display="OP GROUPS"/>
    <hyperlink ref="B110" location="OP ZONE" display="OP ZONE"/>
    <hyperlink ref="A132" location="OP GROUP  STEEL" display="OP GROUP  STEEL"/>
    <hyperlink ref="B131" location="OP ZONE" display="OP ZONE"/>
    <hyperlink ref="A149" location="OP GROUP PILEDRIVER" display="OP GROUP PILEDRIVER"/>
    <hyperlink ref="B148" location="OP ZONE" display="OP ZONE"/>
    <hyperlink ref="B183" location="plas zone" display="plas zone"/>
    <hyperlink ref="B197" location="SHEET" display="SHEET"/>
    <hyperlink ref="B223" location="laborer zone" display="laborer zone"/>
    <hyperlink ref="B281" location="OP ZONE" display="OP ZONE"/>
    <hyperlink ref="C22" location="carp zone" display="carp zone"/>
    <hyperlink ref="C55" location="laborer zone" display="laborer zone"/>
    <hyperlink ref="C65" location="laborer zone" display="laborer zone"/>
    <hyperlink ref="C82" location="laborer zone" display="laborer zone"/>
    <hyperlink ref="C110" location="OP ZONE" display="OP ZONE"/>
    <hyperlink ref="C131" location="OP ZONE" display="OP ZONE"/>
    <hyperlink ref="C148" location="OP ZONE" display="OP ZONE"/>
    <hyperlink ref="C197" location="SHEET" display="SHEET"/>
    <hyperlink ref="B211" location="TILE 09" display="TILE 09"/>
    <hyperlink ref="B214" location="TILE 09" display="TILE 09"/>
    <hyperlink ref="C223" location="laborer zone" display="laborer zone"/>
    <hyperlink ref="C281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7"/>
  <sheetViews>
    <sheetView workbookViewId="0">
      <selection activeCell="M1" sqref="M1:M1048576"/>
    </sheetView>
  </sheetViews>
  <sheetFormatPr defaultRowHeight="12.75"/>
  <cols>
    <col min="1" max="1" width="36.140625" customWidth="1"/>
    <col min="2" max="3" width="9.140625" style="9"/>
    <col min="4" max="4" width="12.42578125" customWidth="1"/>
    <col min="6" max="6" width="18.7109375" customWidth="1"/>
    <col min="8" max="9" width="10" customWidth="1"/>
    <col min="11" max="11" width="15.85546875" customWidth="1"/>
    <col min="12" max="12" width="10.5703125" customWidth="1"/>
  </cols>
  <sheetData>
    <row r="1" spans="1:12" ht="51">
      <c r="A1" s="48" t="s">
        <v>4034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30"/>
      <c r="C2" s="30"/>
      <c r="D2" s="21">
        <f>AVERAGE(D4:D291)</f>
        <v>2.5692183761340557E-2</v>
      </c>
      <c r="F2" s="21">
        <f>AVERAGE(F4:F291)</f>
        <v>4.1013401244310674E-2</v>
      </c>
      <c r="H2" s="21">
        <f>AVERAGE(H4:H291)</f>
        <v>3.9481789704439087E-2</v>
      </c>
      <c r="I2" s="21">
        <f>AVERAGE(I4:I291)</f>
        <v>-1.5281329984820033E-2</v>
      </c>
    </row>
    <row r="3" spans="1:12">
      <c r="A3" s="58"/>
      <c r="B3" s="64"/>
      <c r="C3" s="64"/>
      <c r="D3" s="60"/>
    </row>
    <row r="4" spans="1:12" ht="63.75">
      <c r="A4" s="2" t="s">
        <v>3500</v>
      </c>
      <c r="B4" s="12" t="s">
        <v>3501</v>
      </c>
      <c r="C4" s="44" t="s">
        <v>3481</v>
      </c>
      <c r="D4" s="43"/>
      <c r="E4" s="44"/>
      <c r="F4" s="43"/>
      <c r="G4" s="23" t="s">
        <v>3983</v>
      </c>
      <c r="H4" s="43">
        <f>AVERAGE(F5:F7)</f>
        <v>0.47873563218390824</v>
      </c>
      <c r="I4" s="43"/>
      <c r="J4" s="44"/>
      <c r="K4" s="44"/>
      <c r="L4" s="43"/>
    </row>
    <row r="5" spans="1:12">
      <c r="A5" s="1" t="s">
        <v>3750</v>
      </c>
      <c r="B5" s="7">
        <v>46.6</v>
      </c>
      <c r="C5" s="7">
        <v>48.35</v>
      </c>
      <c r="D5" s="16">
        <f>(C5-B5)/B5</f>
        <v>3.7553648068669523E-2</v>
      </c>
      <c r="E5" s="9">
        <v>34.799999999999997</v>
      </c>
      <c r="F5" s="16">
        <f>(C5-E5)/E5</f>
        <v>0.3893678160919542</v>
      </c>
      <c r="G5" s="40"/>
      <c r="H5" s="16"/>
      <c r="I5" s="16"/>
      <c r="J5" s="9"/>
      <c r="K5" s="9"/>
      <c r="L5" s="16"/>
    </row>
    <row r="6" spans="1:12">
      <c r="A6" s="1" t="s">
        <v>3751</v>
      </c>
      <c r="B6" s="7">
        <v>49.62</v>
      </c>
      <c r="C6" s="7">
        <v>51.46</v>
      </c>
      <c r="D6" s="16">
        <f>(C6-B6)/B6</f>
        <v>3.70818218460299E-2</v>
      </c>
      <c r="E6" s="9">
        <v>34.799999999999997</v>
      </c>
      <c r="F6" s="16">
        <f>(C6-E6)/E6</f>
        <v>0.47873563218390819</v>
      </c>
      <c r="G6" s="40"/>
      <c r="H6" s="16"/>
      <c r="I6" s="16"/>
      <c r="J6" s="9"/>
      <c r="K6" s="9"/>
      <c r="L6" s="16"/>
    </row>
    <row r="7" spans="1:12">
      <c r="A7" s="1" t="s">
        <v>3752</v>
      </c>
      <c r="B7" s="7">
        <v>52.64</v>
      </c>
      <c r="C7" s="7">
        <v>54.57</v>
      </c>
      <c r="D7" s="16">
        <f>(C7-B7)/B7</f>
        <v>3.666413373860182E-2</v>
      </c>
      <c r="E7" s="9">
        <v>34.799999999999997</v>
      </c>
      <c r="F7" s="16">
        <f>(C7-E7)/E7</f>
        <v>0.56810344827586223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44" t="s">
        <v>3481</v>
      </c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3903</v>
      </c>
      <c r="B10" s="7">
        <v>25.75</v>
      </c>
      <c r="C10" s="7">
        <v>26.47</v>
      </c>
      <c r="D10" s="16">
        <f>(C10-B10)/B10</f>
        <v>2.7961165048543644E-2</v>
      </c>
      <c r="E10" s="9">
        <v>26.47</v>
      </c>
      <c r="F10" s="16">
        <f>(C10-E10)/E10</f>
        <v>0</v>
      </c>
      <c r="G10" s="40"/>
      <c r="H10" s="16"/>
      <c r="I10" s="16"/>
      <c r="J10" s="9"/>
      <c r="K10" s="9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>
      <c r="A12" s="2" t="s">
        <v>3507</v>
      </c>
      <c r="B12" s="11" t="s">
        <v>3534</v>
      </c>
      <c r="C12" s="44" t="s">
        <v>3981</v>
      </c>
      <c r="D12" s="43"/>
      <c r="E12" s="44"/>
      <c r="F12" s="43"/>
      <c r="G12" s="23" t="s">
        <v>3983</v>
      </c>
      <c r="H12" s="43">
        <f>AVERAGE(F13)</f>
        <v>1.8693032596941044E-2</v>
      </c>
      <c r="I12" s="43"/>
      <c r="J12" s="44"/>
      <c r="K12" s="44"/>
      <c r="L12" s="43"/>
    </row>
    <row r="13" spans="1:12">
      <c r="A13" s="1" t="s">
        <v>3508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/>
      <c r="B14" s="7"/>
      <c r="C14" s="7"/>
      <c r="D14" s="16"/>
      <c r="E14" s="9"/>
      <c r="F14" s="16"/>
      <c r="G14" s="40"/>
      <c r="H14" s="16"/>
      <c r="I14" s="16"/>
      <c r="J14" s="9"/>
      <c r="K14" s="9"/>
      <c r="L14" s="16"/>
    </row>
    <row r="15" spans="1:12" ht="38.25">
      <c r="A15" s="2" t="s">
        <v>3509</v>
      </c>
      <c r="B15" s="12" t="s">
        <v>3510</v>
      </c>
      <c r="C15" s="44" t="s">
        <v>3480</v>
      </c>
      <c r="D15" s="43"/>
      <c r="E15" s="44"/>
      <c r="F15" s="43"/>
      <c r="G15" s="23" t="s">
        <v>3983</v>
      </c>
      <c r="H15" s="43">
        <f>AVERAGE(F16:F18)</f>
        <v>8.2090341690468568E-2</v>
      </c>
      <c r="I15" s="43"/>
      <c r="J15" s="44"/>
      <c r="K15" s="44"/>
      <c r="L15" s="43"/>
    </row>
    <row r="16" spans="1:12">
      <c r="A16" s="1" t="s">
        <v>3511</v>
      </c>
      <c r="B16" s="7">
        <v>32.68</v>
      </c>
      <c r="C16" s="7">
        <v>32.68</v>
      </c>
      <c r="D16" s="16">
        <f>(C16-B16)/B16</f>
        <v>0</v>
      </c>
      <c r="E16" s="9">
        <v>31.51</v>
      </c>
      <c r="F16" s="16">
        <f>(C16-E16)/E16</f>
        <v>3.7131069501745419E-2</v>
      </c>
      <c r="G16" s="40"/>
      <c r="H16" s="16"/>
      <c r="I16" s="16"/>
      <c r="J16" s="9"/>
      <c r="K16" s="9"/>
      <c r="L16" s="16"/>
    </row>
    <row r="17" spans="1:12">
      <c r="A17" s="1" t="s">
        <v>3512</v>
      </c>
      <c r="B17" s="7">
        <v>33.93</v>
      </c>
      <c r="C17" s="7">
        <v>33.93</v>
      </c>
      <c r="D17" s="16">
        <f>(C17-B17)/B17</f>
        <v>0</v>
      </c>
      <c r="E17" s="9">
        <v>31.51</v>
      </c>
      <c r="F17" s="16">
        <f>(C17-E17)/E17</f>
        <v>7.6801015550618787E-2</v>
      </c>
      <c r="G17" s="40"/>
      <c r="H17" s="16"/>
      <c r="I17" s="16"/>
      <c r="J17" s="9"/>
      <c r="K17" s="9"/>
      <c r="L17" s="16"/>
    </row>
    <row r="18" spans="1:12">
      <c r="A18" s="1" t="s">
        <v>3513</v>
      </c>
      <c r="B18" s="7">
        <v>35.68</v>
      </c>
      <c r="C18" s="7">
        <v>35.68</v>
      </c>
      <c r="D18" s="16">
        <f>(C18-B18)/B18</f>
        <v>0</v>
      </c>
      <c r="E18" s="9">
        <v>31.51</v>
      </c>
      <c r="F18" s="16">
        <f>(C18-E18)/E18</f>
        <v>0.13233894001904151</v>
      </c>
      <c r="G18" s="40"/>
      <c r="H18" s="16"/>
      <c r="I18" s="16"/>
      <c r="J18" s="9"/>
      <c r="K18" s="9"/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J19" s="9"/>
      <c r="K19" s="9"/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AVERAGE(F21:F22)</f>
        <v>3.0656747049769117E-2</v>
      </c>
      <c r="I20" s="43"/>
      <c r="J20" s="44"/>
      <c r="K20" s="44"/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38.979999999999997</v>
      </c>
      <c r="F21" s="16">
        <f>(C21-E21)/E21</f>
        <v>-4.6177526936890647E-3</v>
      </c>
      <c r="G21" s="40"/>
      <c r="H21" s="16"/>
      <c r="I21" s="16"/>
      <c r="J21" s="9"/>
      <c r="K21" s="9"/>
      <c r="L21" s="16"/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38.979999999999997</v>
      </c>
      <c r="F22" s="16">
        <f>(C22-E22)/E22</f>
        <v>6.5931246793227302E-2</v>
      </c>
      <c r="G22" s="40"/>
      <c r="H22" s="16"/>
      <c r="I22" s="16"/>
      <c r="J22" s="9"/>
      <c r="K22" s="9"/>
      <c r="L22" s="16"/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J23" s="9"/>
      <c r="K23" s="9"/>
      <c r="L23" s="16"/>
    </row>
    <row r="24" spans="1:12">
      <c r="A24" s="2" t="s">
        <v>3517</v>
      </c>
      <c r="B24" s="7"/>
      <c r="C24" s="31"/>
      <c r="D24" s="43"/>
      <c r="E24" s="44"/>
      <c r="F24" s="43"/>
      <c r="G24" s="23" t="s">
        <v>3983</v>
      </c>
      <c r="H24" s="43">
        <f>AVERAGE(F25:F26)</f>
        <v>2.9967995344777457E-2</v>
      </c>
      <c r="I24" s="43"/>
      <c r="J24" s="44"/>
      <c r="K24" s="44"/>
      <c r="L24" s="43"/>
    </row>
    <row r="25" spans="1:12">
      <c r="A25" s="1" t="s">
        <v>3521</v>
      </c>
      <c r="B25" s="7">
        <v>34.4</v>
      </c>
      <c r="C25" s="7">
        <v>34.4</v>
      </c>
      <c r="D25" s="16">
        <f>(C25-B25)/B25</f>
        <v>0</v>
      </c>
      <c r="E25" s="9">
        <v>34.369999999999997</v>
      </c>
      <c r="F25" s="16">
        <f>(C25-E25)/E25</f>
        <v>8.7285423334306487E-4</v>
      </c>
      <c r="G25" s="40"/>
      <c r="H25" s="16"/>
      <c r="I25" s="16"/>
      <c r="J25" s="9"/>
      <c r="K25" s="9"/>
      <c r="L25" s="16"/>
    </row>
    <row r="26" spans="1:12">
      <c r="A26" s="1" t="s">
        <v>3522</v>
      </c>
      <c r="B26" s="7">
        <v>36.4</v>
      </c>
      <c r="C26" s="7">
        <v>36.4</v>
      </c>
      <c r="D26" s="16">
        <f>(C26-B26)/B26</f>
        <v>0</v>
      </c>
      <c r="E26" s="9">
        <v>34.369999999999997</v>
      </c>
      <c r="F26" s="16">
        <f>(C26-E26)/E26</f>
        <v>5.9063136456211848E-2</v>
      </c>
      <c r="G26" s="40"/>
      <c r="H26" s="16"/>
      <c r="I26" s="16"/>
      <c r="J26" s="9"/>
      <c r="K26" s="9"/>
      <c r="L26" s="16"/>
    </row>
    <row r="27" spans="1:12">
      <c r="A27" s="143"/>
      <c r="B27" s="143"/>
      <c r="C27" s="7"/>
      <c r="D27" s="16"/>
      <c r="E27" s="9"/>
      <c r="F27" s="16"/>
      <c r="G27" s="40"/>
      <c r="H27" s="16"/>
      <c r="I27" s="16"/>
      <c r="J27" s="9"/>
      <c r="K27" s="9"/>
      <c r="L27" s="16"/>
    </row>
    <row r="28" spans="1:12" ht="12.75" customHeight="1">
      <c r="A28" s="144" t="s">
        <v>3964</v>
      </c>
      <c r="B28" s="144"/>
      <c r="C28" s="31"/>
      <c r="D28" s="43"/>
      <c r="E28" s="44"/>
      <c r="F28" s="43"/>
      <c r="G28" s="23" t="s">
        <v>3984</v>
      </c>
      <c r="H28" s="43"/>
      <c r="I28" s="43">
        <f>AVERAGE(F29:F31)</f>
        <v>0</v>
      </c>
      <c r="J28" s="44"/>
      <c r="K28" s="44"/>
      <c r="L28" s="43"/>
    </row>
    <row r="29" spans="1:12">
      <c r="A29" s="1" t="s">
        <v>3929</v>
      </c>
      <c r="B29" s="7">
        <v>27.97</v>
      </c>
      <c r="C29" s="7">
        <v>26.63</v>
      </c>
      <c r="D29" s="16">
        <f>(C29-B29)/B29</f>
        <v>-4.7908473364318908E-2</v>
      </c>
      <c r="E29" s="9">
        <v>26.63</v>
      </c>
      <c r="F29" s="16">
        <f>(C29-E29)/E29</f>
        <v>0</v>
      </c>
      <c r="G29" s="40"/>
      <c r="H29" s="16"/>
      <c r="I29" s="16"/>
      <c r="J29" s="9"/>
      <c r="K29" s="9"/>
      <c r="L29" s="16"/>
    </row>
    <row r="30" spans="1:12">
      <c r="A30" s="1" t="s">
        <v>3530</v>
      </c>
      <c r="B30" s="7">
        <v>30.88</v>
      </c>
      <c r="C30" s="7">
        <v>26.63</v>
      </c>
      <c r="D30" s="16">
        <f>(C30-B30)/B30</f>
        <v>-0.13762953367875649</v>
      </c>
      <c r="E30" s="9">
        <v>26.63</v>
      </c>
      <c r="F30" s="16">
        <f>(C30-E30)/E30</f>
        <v>0</v>
      </c>
      <c r="G30" s="40"/>
      <c r="H30" s="16"/>
      <c r="I30" s="16"/>
      <c r="J30" s="9"/>
      <c r="K30" s="9"/>
      <c r="L30" s="16"/>
    </row>
    <row r="31" spans="1:12">
      <c r="A31" s="1" t="s">
        <v>3531</v>
      </c>
      <c r="B31" s="7">
        <v>33.130000000000003</v>
      </c>
      <c r="C31" s="7">
        <v>26.63</v>
      </c>
      <c r="D31" s="16">
        <f>(C31-B31)/B31</f>
        <v>-0.19619680048294605</v>
      </c>
      <c r="E31" s="9">
        <v>26.63</v>
      </c>
      <c r="F31" s="16">
        <f>(C31-E31)/E31</f>
        <v>0</v>
      </c>
      <c r="G31" s="40"/>
      <c r="H31" s="16"/>
      <c r="I31" s="16"/>
      <c r="J31" s="9"/>
      <c r="K31" s="9"/>
      <c r="L31" s="16"/>
    </row>
    <row r="32" spans="1:12">
      <c r="A32" s="1"/>
      <c r="B32" s="7"/>
      <c r="C32" s="7"/>
      <c r="D32" s="16"/>
      <c r="E32" s="9"/>
      <c r="F32" s="16"/>
      <c r="G32" s="40"/>
      <c r="H32" s="16"/>
      <c r="I32" s="16"/>
      <c r="J32" s="9"/>
      <c r="K32" s="9"/>
      <c r="L32" s="16"/>
    </row>
    <row r="33" spans="1:12">
      <c r="A33" s="2" t="s">
        <v>3527</v>
      </c>
      <c r="B33" s="11" t="s">
        <v>3534</v>
      </c>
      <c r="C33" s="31" t="s">
        <v>3481</v>
      </c>
      <c r="D33" s="43"/>
      <c r="E33" s="44"/>
      <c r="F33" s="43"/>
      <c r="G33" s="23" t="s">
        <v>3983</v>
      </c>
      <c r="H33" s="43">
        <f>AVERAGE(F34:F38)</f>
        <v>-2.2260273972602725E-2</v>
      </c>
      <c r="I33" s="43"/>
      <c r="J33" s="44"/>
      <c r="K33" s="44"/>
      <c r="L33" s="43"/>
    </row>
    <row r="34" spans="1:12">
      <c r="A34" s="1" t="s">
        <v>3528</v>
      </c>
      <c r="B34" s="7">
        <v>39.19</v>
      </c>
      <c r="C34" s="7">
        <v>40.5</v>
      </c>
      <c r="D34" s="16">
        <f>(C34-B34)/B34</f>
        <v>3.3426894615973521E-2</v>
      </c>
      <c r="E34" s="9">
        <v>58.4</v>
      </c>
      <c r="F34" s="16">
        <f>(C34-E34)/E34</f>
        <v>-0.3065068493150685</v>
      </c>
      <c r="G34" s="40"/>
      <c r="H34" s="16"/>
      <c r="I34" s="16"/>
      <c r="J34" s="9"/>
      <c r="K34" s="9"/>
      <c r="L34" s="16"/>
    </row>
    <row r="35" spans="1:12">
      <c r="A35" s="1" t="s">
        <v>3529</v>
      </c>
      <c r="B35" s="7">
        <v>57.91</v>
      </c>
      <c r="C35" s="7">
        <v>59.9</v>
      </c>
      <c r="D35" s="16">
        <f>(C35-B35)/B35</f>
        <v>3.4363667760317768E-2</v>
      </c>
      <c r="E35" s="9">
        <v>58.4</v>
      </c>
      <c r="F35" s="16">
        <f>(C35-E35)/E35</f>
        <v>2.5684931506849317E-2</v>
      </c>
      <c r="G35" s="40"/>
      <c r="H35" s="16"/>
      <c r="I35" s="16"/>
      <c r="J35" s="9"/>
      <c r="K35" s="9"/>
      <c r="L35" s="16"/>
    </row>
    <row r="36" spans="1:12">
      <c r="A36" s="1" t="s">
        <v>3530</v>
      </c>
      <c r="B36" s="7">
        <v>63.02</v>
      </c>
      <c r="C36" s="7">
        <v>65.16</v>
      </c>
      <c r="D36" s="16">
        <f>(C36-B36)/B36</f>
        <v>3.3957473817835503E-2</v>
      </c>
      <c r="E36" s="9">
        <v>58.4</v>
      </c>
      <c r="F36" s="16">
        <f>(C36-E36)/E36</f>
        <v>0.11575342465753422</v>
      </c>
      <c r="G36" s="40"/>
      <c r="H36" s="16"/>
      <c r="I36" s="16"/>
      <c r="J36" s="9"/>
      <c r="K36" s="9"/>
      <c r="L36" s="16"/>
    </row>
    <row r="37" spans="1:12">
      <c r="A37" s="1" t="s">
        <v>3531</v>
      </c>
      <c r="B37" s="7">
        <v>68.12</v>
      </c>
      <c r="C37" s="7">
        <v>70.45</v>
      </c>
      <c r="D37" s="16">
        <f>(C37-B37)/B37</f>
        <v>3.4204345273047533E-2</v>
      </c>
      <c r="E37" s="9">
        <v>58.4</v>
      </c>
      <c r="F37" s="16">
        <f>(C37-E37)/E37</f>
        <v>0.20633561643835624</v>
      </c>
      <c r="G37" s="40"/>
      <c r="H37" s="16"/>
      <c r="I37" s="16"/>
      <c r="J37" s="9"/>
      <c r="K37" s="9"/>
      <c r="L37" s="16"/>
    </row>
    <row r="38" spans="1:12">
      <c r="A38" s="1" t="s">
        <v>3532</v>
      </c>
      <c r="B38" s="7">
        <v>47.86</v>
      </c>
      <c r="C38" s="7">
        <v>49.49</v>
      </c>
      <c r="D38" s="16">
        <f>(C38-B38)/B38</f>
        <v>3.4057668198913552E-2</v>
      </c>
      <c r="E38" s="9">
        <v>58.4</v>
      </c>
      <c r="F38" s="16">
        <f>(C38-E38)/E38</f>
        <v>-0.15256849315068488</v>
      </c>
      <c r="G38" s="40"/>
      <c r="H38" s="16"/>
      <c r="I38" s="16"/>
      <c r="J38" s="9"/>
      <c r="K38" s="9"/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J39" s="9"/>
      <c r="K39" s="9"/>
      <c r="L39" s="16"/>
    </row>
    <row r="40" spans="1:12">
      <c r="A40" s="2" t="s">
        <v>3533</v>
      </c>
      <c r="B40" s="11" t="s">
        <v>3534</v>
      </c>
      <c r="C40" s="31" t="s">
        <v>3981</v>
      </c>
      <c r="D40" s="43"/>
      <c r="E40" s="44"/>
      <c r="F40" s="43"/>
      <c r="G40" s="23" t="s">
        <v>3983</v>
      </c>
      <c r="H40" s="43">
        <f>AVERAGE(F41)</f>
        <v>5.7445868316395301E-3</v>
      </c>
      <c r="I40" s="43"/>
      <c r="J40" s="44"/>
      <c r="K40" s="44"/>
      <c r="L40" s="43"/>
    </row>
    <row r="41" spans="1:12">
      <c r="A41" s="1" t="s">
        <v>3535</v>
      </c>
      <c r="B41" s="7">
        <v>44.31</v>
      </c>
      <c r="C41" s="7">
        <v>45.52</v>
      </c>
      <c r="D41" s="16">
        <f>(C41-B41)/B41</f>
        <v>2.7307605506657655E-2</v>
      </c>
      <c r="E41" s="9">
        <v>45.26</v>
      </c>
      <c r="F41" s="16">
        <f>(C41-E41)/E41</f>
        <v>5.7445868316395301E-3</v>
      </c>
      <c r="G41" s="40"/>
      <c r="H41" s="16"/>
      <c r="I41" s="16"/>
      <c r="J41" s="9"/>
      <c r="K41" s="9"/>
      <c r="L41" s="16"/>
    </row>
    <row r="42" spans="1:12">
      <c r="A42" s="1"/>
      <c r="B42" s="7"/>
      <c r="C42" s="7"/>
      <c r="D42" s="16"/>
      <c r="E42" s="9"/>
      <c r="F42" s="16"/>
      <c r="G42" s="40"/>
      <c r="H42" s="16"/>
      <c r="I42" s="16"/>
      <c r="J42" s="9"/>
      <c r="K42" s="9"/>
      <c r="L42" s="16"/>
    </row>
    <row r="43" spans="1:12">
      <c r="A43" s="2" t="s">
        <v>3536</v>
      </c>
      <c r="B43" s="11" t="s">
        <v>3534</v>
      </c>
      <c r="C43" s="33" t="s">
        <v>3534</v>
      </c>
      <c r="D43" s="43"/>
      <c r="E43" s="44"/>
      <c r="F43" s="43"/>
      <c r="G43" s="23" t="s">
        <v>3984</v>
      </c>
      <c r="H43" s="43"/>
      <c r="I43" s="43">
        <f>AVERAGE(F44:F47)</f>
        <v>0</v>
      </c>
      <c r="J43" s="44"/>
      <c r="K43" s="44"/>
      <c r="L43" s="43"/>
    </row>
    <row r="44" spans="1:12">
      <c r="A44" s="1" t="s">
        <v>3537</v>
      </c>
      <c r="B44" s="7">
        <v>47.69</v>
      </c>
      <c r="C44" s="7">
        <v>42.21</v>
      </c>
      <c r="D44" s="16">
        <f>(C44-B44)/B44</f>
        <v>-0.11490878590899553</v>
      </c>
      <c r="E44" s="9">
        <v>42.21</v>
      </c>
      <c r="F44" s="16">
        <f>(C44-E44)/E44</f>
        <v>0</v>
      </c>
      <c r="G44" s="40"/>
      <c r="H44" s="16"/>
      <c r="I44" s="16"/>
      <c r="J44" s="9"/>
      <c r="K44" s="9"/>
      <c r="L44" s="16"/>
    </row>
    <row r="45" spans="1:12">
      <c r="A45" s="1" t="s">
        <v>3538</v>
      </c>
      <c r="B45" s="7">
        <v>51.18</v>
      </c>
      <c r="C45" s="7">
        <v>42.21</v>
      </c>
      <c r="D45" s="16">
        <f>(C45-B45)/B45</f>
        <v>-0.17526377491207501</v>
      </c>
      <c r="E45" s="9">
        <v>42.21</v>
      </c>
      <c r="F45" s="16">
        <f>(C45-E45)/E45</f>
        <v>0</v>
      </c>
      <c r="G45" s="40"/>
      <c r="H45" s="16"/>
      <c r="I45" s="16"/>
      <c r="J45" s="9"/>
      <c r="K45" s="9"/>
      <c r="L45" s="16"/>
    </row>
    <row r="46" spans="1:12">
      <c r="A46" s="1" t="s">
        <v>3539</v>
      </c>
      <c r="B46" s="7">
        <v>51.18</v>
      </c>
      <c r="C46" s="7">
        <v>42.21</v>
      </c>
      <c r="D46" s="16">
        <f>(C46-B46)/B46</f>
        <v>-0.17526377491207501</v>
      </c>
      <c r="E46" s="9">
        <v>42.21</v>
      </c>
      <c r="F46" s="16">
        <f>(C46-E46)/E46</f>
        <v>0</v>
      </c>
      <c r="G46" s="40"/>
      <c r="H46" s="16"/>
      <c r="I46" s="16"/>
      <c r="J46" s="9"/>
      <c r="K46" s="9"/>
      <c r="L46" s="16"/>
    </row>
    <row r="47" spans="1:12">
      <c r="A47" s="1" t="s">
        <v>3540</v>
      </c>
      <c r="B47" s="7">
        <v>54.67</v>
      </c>
      <c r="C47" s="7">
        <v>42.21</v>
      </c>
      <c r="D47" s="16">
        <f>(C47-B47)/B47</f>
        <v>-0.22791293213828426</v>
      </c>
      <c r="E47" s="9">
        <v>42.21</v>
      </c>
      <c r="F47" s="16">
        <f>(C47-E47)/E47</f>
        <v>0</v>
      </c>
      <c r="G47" s="40"/>
      <c r="H47" s="16"/>
      <c r="I47" s="16"/>
      <c r="J47" s="9"/>
      <c r="K47" s="9"/>
      <c r="L47" s="16"/>
    </row>
    <row r="48" spans="1:12">
      <c r="A48" s="1"/>
      <c r="B48" s="7"/>
      <c r="C48" s="7"/>
      <c r="D48" s="16"/>
      <c r="E48" s="9"/>
      <c r="F48" s="16"/>
      <c r="G48" s="40"/>
      <c r="H48" s="16"/>
      <c r="I48" s="16"/>
      <c r="J48" s="9"/>
      <c r="K48" s="9"/>
      <c r="L48" s="16"/>
    </row>
    <row r="49" spans="1:12">
      <c r="A49" s="1"/>
      <c r="B49" s="7"/>
      <c r="C49" s="7"/>
      <c r="D49" s="16"/>
      <c r="E49" s="9"/>
      <c r="F49" s="16"/>
      <c r="G49" s="40"/>
      <c r="H49" s="16"/>
      <c r="I49" s="16"/>
      <c r="J49" s="9"/>
      <c r="K49" s="9"/>
      <c r="L49" s="16"/>
    </row>
    <row r="50" spans="1:12">
      <c r="A50" s="2" t="s">
        <v>3541</v>
      </c>
      <c r="B50" s="11" t="s">
        <v>3534</v>
      </c>
      <c r="C50" s="31" t="s">
        <v>3481</v>
      </c>
      <c r="D50" s="43"/>
      <c r="E50" s="44"/>
      <c r="F50" s="43"/>
      <c r="G50" s="23" t="s">
        <v>3983</v>
      </c>
      <c r="H50" s="43">
        <f>AVERAGE(F51:F52)</f>
        <v>7.0849143006672666E-2</v>
      </c>
      <c r="I50" s="43"/>
      <c r="J50" s="44"/>
      <c r="K50" s="44"/>
      <c r="L50" s="43"/>
    </row>
    <row r="51" spans="1:12" ht="25.5">
      <c r="A51" s="1" t="s">
        <v>3542</v>
      </c>
      <c r="B51" s="7">
        <v>46.01</v>
      </c>
      <c r="C51" s="7">
        <v>78.209999999999994</v>
      </c>
      <c r="D51" s="16">
        <f>(C51-B51)/B51</f>
        <v>0.69984785916105186</v>
      </c>
      <c r="E51" s="9">
        <v>76.430000000000007</v>
      </c>
      <c r="F51" s="16">
        <f>(C51-E51)/E51</f>
        <v>2.3289284312442586E-2</v>
      </c>
      <c r="G51" s="40"/>
      <c r="H51" s="16"/>
      <c r="I51" s="16"/>
      <c r="J51" s="9"/>
      <c r="K51" s="9"/>
      <c r="L51" s="16"/>
    </row>
    <row r="52" spans="1:12">
      <c r="A52" s="1" t="s">
        <v>3543</v>
      </c>
      <c r="B52" s="7">
        <v>46.01</v>
      </c>
      <c r="C52" s="7">
        <v>85.48</v>
      </c>
      <c r="D52" s="16">
        <f>(C52-B52)/B52</f>
        <v>0.85785698761138895</v>
      </c>
      <c r="E52" s="9">
        <v>76.430000000000007</v>
      </c>
      <c r="F52" s="16">
        <f>(C52-E52)/E52</f>
        <v>0.11840900170090274</v>
      </c>
      <c r="G52" s="40"/>
      <c r="H52" s="16"/>
      <c r="I52" s="16"/>
      <c r="J52" s="9"/>
      <c r="K52" s="9"/>
      <c r="L52" s="16"/>
    </row>
    <row r="53" spans="1:12">
      <c r="A53" s="1"/>
      <c r="B53" s="7"/>
      <c r="C53" s="7"/>
      <c r="D53" s="16"/>
      <c r="E53" s="9"/>
      <c r="F53" s="16"/>
      <c r="G53" s="40"/>
      <c r="H53" s="16"/>
      <c r="I53" s="16"/>
      <c r="J53" s="9"/>
      <c r="K53" s="9"/>
      <c r="L53" s="16"/>
    </row>
    <row r="54" spans="1:12">
      <c r="A54" s="2" t="s">
        <v>3544</v>
      </c>
      <c r="B54" s="7"/>
      <c r="C54" s="31" t="s">
        <v>3481</v>
      </c>
      <c r="D54" s="43"/>
      <c r="E54" s="44"/>
      <c r="F54" s="43"/>
      <c r="G54" s="23" t="s">
        <v>3984</v>
      </c>
      <c r="H54" s="43"/>
      <c r="I54" s="43">
        <f>AVERAGE(F55)</f>
        <v>0</v>
      </c>
      <c r="J54" s="44"/>
      <c r="K54" s="44"/>
      <c r="L54" s="43"/>
    </row>
    <row r="55" spans="1:12">
      <c r="A55" s="1" t="s">
        <v>3545</v>
      </c>
      <c r="B55" s="7">
        <v>37.56</v>
      </c>
      <c r="C55" s="7">
        <v>37.69</v>
      </c>
      <c r="D55" s="16">
        <f>(C55-B55)/B55</f>
        <v>3.4611288604897614E-3</v>
      </c>
      <c r="E55" s="9">
        <v>37.69</v>
      </c>
      <c r="F55" s="16">
        <f>(C55-E55)/E55</f>
        <v>0</v>
      </c>
      <c r="G55" s="40"/>
      <c r="H55" s="16"/>
      <c r="I55" s="16"/>
      <c r="J55" s="9"/>
      <c r="K55" s="9"/>
      <c r="L55" s="16"/>
    </row>
    <row r="56" spans="1:12">
      <c r="A56" s="1"/>
      <c r="B56" s="7"/>
      <c r="C56" s="7"/>
      <c r="D56" s="16"/>
      <c r="E56" s="9"/>
      <c r="F56" s="16"/>
      <c r="G56" s="40"/>
      <c r="H56" s="16"/>
      <c r="I56" s="16"/>
      <c r="J56" s="9"/>
      <c r="K56" s="9"/>
      <c r="L56" s="16"/>
    </row>
    <row r="57" spans="1:12" ht="51">
      <c r="A57" s="2" t="s">
        <v>3546</v>
      </c>
      <c r="B57" s="12" t="s">
        <v>3547</v>
      </c>
      <c r="C57" s="12" t="s">
        <v>3547</v>
      </c>
      <c r="D57" s="43"/>
      <c r="E57" s="44"/>
      <c r="F57" s="43"/>
      <c r="G57" s="23"/>
      <c r="H57" s="43"/>
      <c r="I57" s="43"/>
      <c r="J57" s="44"/>
      <c r="K57" s="44"/>
      <c r="L57" s="43"/>
    </row>
    <row r="58" spans="1:12">
      <c r="A58" s="1" t="s">
        <v>3548</v>
      </c>
      <c r="B58" s="7">
        <v>27.95</v>
      </c>
      <c r="C58" s="7">
        <v>27.95</v>
      </c>
      <c r="D58" s="16">
        <f>(C58-B58)/B58</f>
        <v>0</v>
      </c>
      <c r="E58" s="9"/>
      <c r="F58" s="16"/>
      <c r="G58" s="40"/>
      <c r="H58" s="16"/>
      <c r="I58" s="16"/>
      <c r="J58" s="9"/>
      <c r="K58" s="9"/>
      <c r="L58" s="16"/>
    </row>
    <row r="59" spans="1:12">
      <c r="A59" s="1"/>
      <c r="B59" s="7"/>
      <c r="C59" s="7"/>
      <c r="D59" s="16"/>
      <c r="E59" s="9"/>
      <c r="F59" s="16"/>
      <c r="G59" s="40"/>
      <c r="H59" s="16"/>
      <c r="I59" s="16"/>
      <c r="J59" s="9"/>
      <c r="K59" s="9"/>
      <c r="L59" s="16"/>
    </row>
    <row r="60" spans="1:12">
      <c r="A60" s="2" t="s">
        <v>3549</v>
      </c>
      <c r="B60" s="7"/>
      <c r="C60" s="31" t="s">
        <v>3481</v>
      </c>
      <c r="D60" s="43"/>
      <c r="E60" s="44"/>
      <c r="F60" s="43"/>
      <c r="G60" s="23" t="s">
        <v>3983</v>
      </c>
      <c r="H60" s="43">
        <f>AVERAGE(F61:F62)</f>
        <v>3.6491324703938281E-2</v>
      </c>
      <c r="I60" s="43"/>
      <c r="J60" s="44"/>
      <c r="K60" s="44"/>
      <c r="L60" s="43"/>
    </row>
    <row r="61" spans="1:12">
      <c r="A61" s="1" t="s">
        <v>3550</v>
      </c>
      <c r="B61" s="7">
        <v>36.26</v>
      </c>
      <c r="C61" s="7">
        <v>36.340000000000003</v>
      </c>
      <c r="D61" s="16">
        <f>(C61-B61)/B61</f>
        <v>2.2062879205737838E-3</v>
      </c>
      <c r="E61" s="9">
        <v>36.31</v>
      </c>
      <c r="F61" s="16">
        <f>(C61-E61)/E61</f>
        <v>8.2621867254203073E-4</v>
      </c>
      <c r="G61" s="40"/>
      <c r="H61" s="16"/>
      <c r="I61" s="16"/>
      <c r="J61" s="9"/>
      <c r="K61" s="9"/>
      <c r="L61" s="16"/>
    </row>
    <row r="62" spans="1:12">
      <c r="A62" s="1" t="s">
        <v>3551</v>
      </c>
      <c r="B62" s="7">
        <v>38.9</v>
      </c>
      <c r="C62" s="7">
        <v>38.93</v>
      </c>
      <c r="D62" s="16">
        <f>(C62-B62)/B62</f>
        <v>7.7120822622110891E-4</v>
      </c>
      <c r="E62" s="9">
        <v>36.31</v>
      </c>
      <c r="F62" s="16">
        <f>(C62-E62)/E62</f>
        <v>7.2156430735334537E-2</v>
      </c>
      <c r="G62" s="40"/>
      <c r="H62" s="16"/>
      <c r="I62" s="16"/>
      <c r="J62" s="9"/>
      <c r="K62" s="9"/>
      <c r="L62" s="16"/>
    </row>
    <row r="63" spans="1:12">
      <c r="A63" s="1"/>
      <c r="B63" s="7"/>
      <c r="C63" s="7"/>
      <c r="D63" s="16"/>
      <c r="E63" s="9"/>
      <c r="F63" s="16"/>
      <c r="G63" s="40"/>
      <c r="H63" s="16"/>
      <c r="I63" s="16"/>
      <c r="J63" s="9"/>
      <c r="K63" s="9"/>
      <c r="L63" s="16"/>
    </row>
    <row r="64" spans="1:12">
      <c r="A64" s="2" t="s">
        <v>3552</v>
      </c>
      <c r="B64" s="11" t="s">
        <v>3534</v>
      </c>
      <c r="C64" s="33" t="s">
        <v>3534</v>
      </c>
      <c r="D64" s="43"/>
      <c r="E64" s="44"/>
      <c r="F64" s="43"/>
      <c r="G64" s="23" t="s">
        <v>3983</v>
      </c>
      <c r="H64" s="43">
        <f>AVERAGE(F65)</f>
        <v>-2.2339435308718441E-2</v>
      </c>
      <c r="I64" s="43"/>
      <c r="J64" s="44"/>
      <c r="K64" s="44"/>
      <c r="L64" s="43"/>
    </row>
    <row r="65" spans="1:12">
      <c r="A65" s="1" t="s">
        <v>3553</v>
      </c>
      <c r="B65" s="7">
        <v>21.5</v>
      </c>
      <c r="C65" s="7">
        <v>31.51</v>
      </c>
      <c r="D65" s="16">
        <f>(C65-B65)/B65</f>
        <v>0.4655813953488373</v>
      </c>
      <c r="E65" s="9">
        <v>32.229999999999997</v>
      </c>
      <c r="F65" s="16">
        <f>(C65-E65)/E65</f>
        <v>-2.2339435308718441E-2</v>
      </c>
      <c r="G65" s="40"/>
      <c r="H65" s="16"/>
      <c r="I65" s="16"/>
      <c r="J65" s="9"/>
      <c r="K65" s="9"/>
      <c r="L65" s="16"/>
    </row>
    <row r="66" spans="1:12">
      <c r="A66" s="1"/>
      <c r="B66" s="7"/>
      <c r="C66" s="7"/>
      <c r="D66" s="16"/>
      <c r="E66" s="9"/>
      <c r="F66" s="16"/>
      <c r="G66" s="40"/>
      <c r="H66" s="16"/>
      <c r="I66" s="16"/>
      <c r="J66" s="9"/>
      <c r="K66" s="9"/>
      <c r="L66" s="16"/>
    </row>
    <row r="67" spans="1:12" ht="51">
      <c r="A67" s="2" t="s">
        <v>3554</v>
      </c>
      <c r="B67" s="12" t="s">
        <v>3547</v>
      </c>
      <c r="C67" s="31"/>
      <c r="D67" s="43"/>
      <c r="E67" s="44"/>
      <c r="F67" s="43"/>
      <c r="G67" s="23" t="s">
        <v>3983</v>
      </c>
      <c r="H67" s="43">
        <f>AVERAGE(F68)</f>
        <v>0</v>
      </c>
      <c r="I67" s="43"/>
      <c r="J67" s="44"/>
      <c r="K67" s="44"/>
      <c r="L67" s="43"/>
    </row>
    <row r="68" spans="1:12">
      <c r="A68" s="1" t="s">
        <v>3555</v>
      </c>
      <c r="B68" s="7">
        <v>33.57</v>
      </c>
      <c r="C68" s="7">
        <v>33.57</v>
      </c>
      <c r="D68" s="16">
        <f>(C68-B68)/B68</f>
        <v>0</v>
      </c>
      <c r="E68" s="9">
        <v>33.57</v>
      </c>
      <c r="F68" s="16">
        <f>(C68-E68)/E68</f>
        <v>0</v>
      </c>
      <c r="G68" s="40"/>
      <c r="H68" s="16"/>
      <c r="I68" s="16"/>
      <c r="J68" s="9"/>
      <c r="K68" s="9"/>
      <c r="L68" s="16"/>
    </row>
    <row r="69" spans="1:12">
      <c r="A69" s="143"/>
      <c r="B69" s="143"/>
      <c r="C69" s="7"/>
      <c r="D69" s="16"/>
      <c r="E69" s="9"/>
      <c r="F69" s="16"/>
      <c r="G69" s="40"/>
      <c r="H69" s="16"/>
      <c r="I69" s="16"/>
      <c r="J69" s="9"/>
      <c r="K69" s="9"/>
      <c r="L69" s="16"/>
    </row>
    <row r="70" spans="1:12" ht="38.25">
      <c r="A70" s="2" t="s">
        <v>3556</v>
      </c>
      <c r="B70" s="12" t="s">
        <v>3510</v>
      </c>
      <c r="C70" s="12" t="s">
        <v>3510</v>
      </c>
      <c r="D70" s="43"/>
      <c r="E70" s="44"/>
      <c r="F70" s="43"/>
      <c r="G70" s="23" t="s">
        <v>3983</v>
      </c>
      <c r="H70" s="43">
        <f>AVERAGE(F71:F72)</f>
        <v>8.3056478405315604E-3</v>
      </c>
      <c r="I70" s="43"/>
      <c r="J70" s="44"/>
      <c r="K70" s="44"/>
      <c r="L70" s="43"/>
    </row>
    <row r="71" spans="1:12">
      <c r="A71" s="1" t="s">
        <v>3557</v>
      </c>
      <c r="B71" s="7">
        <v>30.1</v>
      </c>
      <c r="C71" s="7">
        <v>30.1</v>
      </c>
      <c r="D71" s="16">
        <f>(C71-B71)/B71</f>
        <v>0</v>
      </c>
      <c r="E71" s="9">
        <v>30.1</v>
      </c>
      <c r="F71" s="16">
        <f>(C71-E71)/E71</f>
        <v>0</v>
      </c>
      <c r="G71" s="40"/>
      <c r="H71" s="16"/>
      <c r="I71" s="16"/>
      <c r="J71" s="9"/>
      <c r="K71" s="9"/>
      <c r="L71" s="16"/>
    </row>
    <row r="72" spans="1:12">
      <c r="A72" s="1" t="s">
        <v>3683</v>
      </c>
      <c r="B72" s="7">
        <v>30.6</v>
      </c>
      <c r="C72" s="7">
        <v>30.6</v>
      </c>
      <c r="D72" s="16">
        <f>(C72-B72)/B72</f>
        <v>0</v>
      </c>
      <c r="E72" s="9">
        <v>30.1</v>
      </c>
      <c r="F72" s="16">
        <f>(C72-E72)/E72</f>
        <v>1.6611295681063121E-2</v>
      </c>
      <c r="G72" s="40"/>
      <c r="H72" s="16"/>
      <c r="I72" s="16"/>
      <c r="J72" s="9"/>
      <c r="K72" s="9"/>
      <c r="L72" s="16"/>
    </row>
    <row r="73" spans="1:12">
      <c r="A73" s="143"/>
      <c r="B73" s="143"/>
      <c r="C73" s="7"/>
      <c r="D73" s="16"/>
      <c r="E73" s="9"/>
      <c r="F73" s="16"/>
      <c r="G73" s="40"/>
      <c r="H73" s="16"/>
      <c r="I73" s="16"/>
      <c r="J73" s="9"/>
      <c r="K73" s="9"/>
      <c r="L73" s="16"/>
    </row>
    <row r="74" spans="1:12" ht="38.25">
      <c r="A74" s="2" t="s">
        <v>3684</v>
      </c>
      <c r="B74" s="12" t="s">
        <v>3510</v>
      </c>
      <c r="C74" s="31" t="s">
        <v>3481</v>
      </c>
      <c r="D74" s="43"/>
      <c r="E74" s="44"/>
      <c r="F74" s="43"/>
      <c r="G74" s="23" t="s">
        <v>3983</v>
      </c>
      <c r="H74" s="43">
        <f>AVERAGE(F75:F77)</f>
        <v>3.8112164296998416E-2</v>
      </c>
      <c r="I74" s="43"/>
      <c r="J74" s="44"/>
      <c r="K74" s="44"/>
      <c r="L74" s="43"/>
    </row>
    <row r="75" spans="1:12">
      <c r="A75" s="1" t="s">
        <v>3560</v>
      </c>
      <c r="B75" s="7">
        <v>33.76</v>
      </c>
      <c r="C75" s="7">
        <v>34.26</v>
      </c>
      <c r="D75" s="16">
        <f>(C75-B75)/B75</f>
        <v>1.481042654028436E-2</v>
      </c>
      <c r="E75" s="9">
        <v>33.76</v>
      </c>
      <c r="F75" s="16">
        <f>(C75-E75)/E75</f>
        <v>1.481042654028436E-2</v>
      </c>
      <c r="G75" s="40"/>
      <c r="H75" s="16"/>
      <c r="I75" s="16"/>
      <c r="J75" s="9"/>
      <c r="K75" s="9"/>
      <c r="L75" s="16"/>
    </row>
    <row r="76" spans="1:12">
      <c r="A76" s="1" t="s">
        <v>3909</v>
      </c>
      <c r="B76" s="7">
        <v>34.76</v>
      </c>
      <c r="C76" s="7">
        <v>35.26</v>
      </c>
      <c r="D76" s="16">
        <f>(C76-B76)/B76</f>
        <v>1.4384349827387804E-2</v>
      </c>
      <c r="E76" s="9">
        <v>33.76</v>
      </c>
      <c r="F76" s="16">
        <f>(C76-E76)/E76</f>
        <v>4.4431279620853081E-2</v>
      </c>
      <c r="G76" s="40"/>
      <c r="H76" s="16"/>
      <c r="I76" s="16"/>
      <c r="J76" s="9"/>
      <c r="K76" s="9"/>
      <c r="L76" s="16"/>
    </row>
    <row r="77" spans="1:12">
      <c r="A77" s="1" t="s">
        <v>3562</v>
      </c>
      <c r="B77" s="7">
        <v>35.119999999999997</v>
      </c>
      <c r="C77" s="7">
        <v>35.619999999999997</v>
      </c>
      <c r="D77" s="16">
        <f>(C77-B77)/B77</f>
        <v>1.4236902050113897E-2</v>
      </c>
      <c r="E77" s="9">
        <v>33.76</v>
      </c>
      <c r="F77" s="16">
        <f>(C77-E77)/E77</f>
        <v>5.5094786729857806E-2</v>
      </c>
      <c r="G77" s="40"/>
      <c r="H77" s="16"/>
      <c r="I77" s="16"/>
      <c r="J77" s="9"/>
      <c r="K77" s="9"/>
      <c r="L77" s="16"/>
    </row>
    <row r="78" spans="1:12">
      <c r="A78" s="1"/>
      <c r="B78" s="7"/>
      <c r="C78" s="7"/>
      <c r="D78" s="16"/>
      <c r="E78" s="9"/>
      <c r="F78" s="16"/>
      <c r="G78" s="40"/>
      <c r="H78" s="16"/>
      <c r="I78" s="16"/>
      <c r="J78" s="9"/>
      <c r="K78" s="9"/>
      <c r="L78" s="16"/>
    </row>
    <row r="79" spans="1:12" ht="38.25">
      <c r="A79" s="2" t="s">
        <v>3563</v>
      </c>
      <c r="B79" s="12" t="s">
        <v>3564</v>
      </c>
      <c r="C79" s="31"/>
      <c r="D79" s="43"/>
      <c r="E79" s="44"/>
      <c r="F79" s="43"/>
      <c r="G79" s="23" t="s">
        <v>3983</v>
      </c>
      <c r="H79" s="43">
        <f>AVERAGE(F80:F82)</f>
        <v>0</v>
      </c>
      <c r="I79" s="43"/>
      <c r="J79" s="44"/>
      <c r="K79" s="44"/>
      <c r="L79" s="43"/>
    </row>
    <row r="80" spans="1:12">
      <c r="A80" s="1" t="s">
        <v>3565</v>
      </c>
      <c r="B80" s="7">
        <v>54.38</v>
      </c>
      <c r="C80" s="7">
        <v>57.31</v>
      </c>
      <c r="D80" s="16">
        <f>(C80-B80)/B80</f>
        <v>5.38801029790364E-2</v>
      </c>
      <c r="E80">
        <v>57.31</v>
      </c>
      <c r="F80" s="16">
        <f>(C80-E80)/E80</f>
        <v>0</v>
      </c>
      <c r="G80" s="40"/>
      <c r="H80" s="16"/>
      <c r="I80" s="16"/>
      <c r="J80" s="9"/>
      <c r="K80" s="9"/>
      <c r="L80" s="16"/>
    </row>
    <row r="81" spans="1:12">
      <c r="A81" s="1" t="s">
        <v>3566</v>
      </c>
      <c r="B81" s="7">
        <v>57.68</v>
      </c>
      <c r="C81" s="7">
        <v>57.31</v>
      </c>
      <c r="D81" s="16">
        <f>(C81-B81)/B81</f>
        <v>-6.4147018030512731E-3</v>
      </c>
      <c r="E81">
        <v>57.31</v>
      </c>
      <c r="F81" s="16">
        <f>(C81-E81)/E81</f>
        <v>0</v>
      </c>
      <c r="G81" s="40"/>
      <c r="H81" s="16"/>
      <c r="I81" s="16"/>
      <c r="J81" s="9"/>
      <c r="K81" s="9"/>
      <c r="L81" s="16"/>
    </row>
    <row r="82" spans="1:12">
      <c r="A82" s="1" t="s">
        <v>3567</v>
      </c>
      <c r="B82" s="7">
        <v>61.04</v>
      </c>
      <c r="C82" s="7">
        <v>57.31</v>
      </c>
      <c r="D82" s="16">
        <f>(C82-B82)/B82</f>
        <v>-6.1107470511140183E-2</v>
      </c>
      <c r="E82">
        <v>57.31</v>
      </c>
      <c r="F82" s="16">
        <f>(C82-E82)/E82</f>
        <v>0</v>
      </c>
      <c r="G82" s="40"/>
      <c r="H82" s="16"/>
      <c r="I82" s="16"/>
      <c r="J82" s="9"/>
      <c r="K82" s="9"/>
      <c r="L82" s="16"/>
    </row>
    <row r="83" spans="1:12">
      <c r="A83" s="143"/>
      <c r="B83" s="143"/>
      <c r="C83" s="7"/>
      <c r="D83" s="16"/>
      <c r="E83" s="9"/>
      <c r="F83" s="16"/>
      <c r="G83" s="40"/>
      <c r="H83" s="16"/>
      <c r="I83" s="16"/>
      <c r="J83" s="9"/>
      <c r="K83" s="9"/>
      <c r="L83" s="16"/>
    </row>
    <row r="84" spans="1:12" ht="25.5" customHeight="1">
      <c r="A84" s="2" t="s">
        <v>3969</v>
      </c>
      <c r="B84" s="147" t="s">
        <v>3510</v>
      </c>
      <c r="C84" s="147" t="s">
        <v>3510</v>
      </c>
      <c r="D84" s="43"/>
      <c r="E84" s="44"/>
      <c r="F84" s="43"/>
      <c r="G84" s="23" t="s">
        <v>3983</v>
      </c>
      <c r="H84" s="43">
        <f>AVERAGE(F86:F99)</f>
        <v>-1.4076773324015373E-2</v>
      </c>
      <c r="I84" s="43"/>
      <c r="J84" s="44"/>
      <c r="K84" s="44"/>
      <c r="L84" s="43"/>
    </row>
    <row r="85" spans="1:12">
      <c r="A85" s="3" t="s">
        <v>3569</v>
      </c>
      <c r="B85" s="147"/>
      <c r="C85" s="147"/>
      <c r="D85" s="16"/>
      <c r="E85" s="9"/>
      <c r="F85" s="16"/>
      <c r="G85" s="40"/>
      <c r="H85" s="16"/>
      <c r="I85" s="16"/>
      <c r="J85" s="9"/>
      <c r="K85" s="9"/>
      <c r="L85" s="16"/>
    </row>
    <row r="86" spans="1:12">
      <c r="A86" s="1" t="s">
        <v>3571</v>
      </c>
      <c r="B86" s="7">
        <v>25.66</v>
      </c>
      <c r="C86" s="7">
        <v>25.66</v>
      </c>
      <c r="D86" s="16">
        <f t="shared" ref="D86:D99" si="0">(C86-B86)/B86</f>
        <v>0</v>
      </c>
      <c r="E86" s="9">
        <v>30.82</v>
      </c>
      <c r="F86" s="16">
        <f t="shared" ref="F86:F99" si="1">(C86-E86)/E86</f>
        <v>-0.16742375081116159</v>
      </c>
      <c r="G86" s="40"/>
      <c r="H86" s="16"/>
      <c r="I86" s="16"/>
      <c r="J86" s="9"/>
      <c r="K86" s="9"/>
      <c r="L86" s="16"/>
    </row>
    <row r="87" spans="1:12">
      <c r="A87" s="1" t="s">
        <v>3572</v>
      </c>
      <c r="B87" s="7">
        <v>27.16</v>
      </c>
      <c r="C87" s="7">
        <v>27.16</v>
      </c>
      <c r="D87" s="16">
        <f t="shared" si="0"/>
        <v>0</v>
      </c>
      <c r="E87" s="9">
        <v>30.82</v>
      </c>
      <c r="F87" s="16">
        <f t="shared" si="1"/>
        <v>-0.11875405580791694</v>
      </c>
      <c r="G87" s="40"/>
      <c r="H87" s="16"/>
      <c r="I87" s="16"/>
      <c r="J87" s="9"/>
      <c r="K87" s="9"/>
      <c r="L87" s="16"/>
    </row>
    <row r="88" spans="1:12">
      <c r="A88" s="1" t="s">
        <v>3573</v>
      </c>
      <c r="B88" s="7">
        <v>30.82</v>
      </c>
      <c r="C88" s="7">
        <v>30.82</v>
      </c>
      <c r="D88" s="16">
        <f t="shared" si="0"/>
        <v>0</v>
      </c>
      <c r="E88" s="9">
        <v>30.82</v>
      </c>
      <c r="F88" s="16">
        <f t="shared" si="1"/>
        <v>0</v>
      </c>
      <c r="G88" s="40"/>
      <c r="H88" s="16"/>
      <c r="I88" s="16"/>
      <c r="J88" s="9"/>
      <c r="K88" s="9"/>
      <c r="L88" s="16"/>
    </row>
    <row r="89" spans="1:12">
      <c r="A89" s="1" t="s">
        <v>3574</v>
      </c>
      <c r="B89" s="7">
        <v>27.95</v>
      </c>
      <c r="C89" s="7">
        <v>27.95</v>
      </c>
      <c r="D89" s="16">
        <f t="shared" si="0"/>
        <v>0</v>
      </c>
      <c r="E89" s="9">
        <v>30.82</v>
      </c>
      <c r="F89" s="16">
        <f t="shared" si="1"/>
        <v>-9.3121349772874784E-2</v>
      </c>
      <c r="G89" s="40"/>
      <c r="H89" s="16"/>
      <c r="I89" s="16"/>
      <c r="J89" s="9"/>
      <c r="K89" s="9"/>
      <c r="L89" s="16"/>
    </row>
    <row r="90" spans="1:12">
      <c r="A90" s="1" t="s">
        <v>3575</v>
      </c>
      <c r="B90" s="7">
        <v>30.92</v>
      </c>
      <c r="C90" s="7">
        <v>30.92</v>
      </c>
      <c r="D90" s="16">
        <f t="shared" si="0"/>
        <v>0</v>
      </c>
      <c r="E90" s="9">
        <v>30.82</v>
      </c>
      <c r="F90" s="16">
        <f t="shared" si="1"/>
        <v>3.2446463335496891E-3</v>
      </c>
      <c r="G90" s="40"/>
      <c r="H90" s="16"/>
      <c r="I90" s="16"/>
      <c r="J90" s="9"/>
      <c r="K90" s="9"/>
      <c r="L90" s="16"/>
    </row>
    <row r="91" spans="1:12">
      <c r="A91" s="1" t="s">
        <v>3576</v>
      </c>
      <c r="B91" s="7">
        <v>31.07</v>
      </c>
      <c r="C91" s="7">
        <v>31.07</v>
      </c>
      <c r="D91" s="16">
        <f t="shared" si="0"/>
        <v>0</v>
      </c>
      <c r="E91" s="9">
        <v>30.82</v>
      </c>
      <c r="F91" s="16">
        <f t="shared" si="1"/>
        <v>8.1116158338741078E-3</v>
      </c>
      <c r="G91" s="40"/>
      <c r="H91" s="16"/>
      <c r="I91" s="16"/>
      <c r="J91" s="9"/>
      <c r="K91" s="9"/>
      <c r="L91" s="16"/>
    </row>
    <row r="92" spans="1:12">
      <c r="A92" s="1" t="s">
        <v>3577</v>
      </c>
      <c r="B92" s="7">
        <v>31.32</v>
      </c>
      <c r="C92" s="7">
        <v>31.32</v>
      </c>
      <c r="D92" s="16">
        <f t="shared" si="0"/>
        <v>0</v>
      </c>
      <c r="E92" s="9">
        <v>30.82</v>
      </c>
      <c r="F92" s="16">
        <f t="shared" si="1"/>
        <v>1.6223231667748216E-2</v>
      </c>
      <c r="G92" s="40"/>
      <c r="H92" s="16"/>
      <c r="I92" s="16"/>
      <c r="J92" s="9"/>
      <c r="K92" s="9"/>
      <c r="L92" s="16"/>
    </row>
    <row r="93" spans="1:12">
      <c r="A93" s="1" t="s">
        <v>3578</v>
      </c>
      <c r="B93" s="7">
        <v>32.57</v>
      </c>
      <c r="C93" s="7">
        <v>32.57</v>
      </c>
      <c r="D93" s="16">
        <f t="shared" si="0"/>
        <v>0</v>
      </c>
      <c r="E93" s="9">
        <v>30.82</v>
      </c>
      <c r="F93" s="16">
        <f t="shared" si="1"/>
        <v>5.6781310837118751E-2</v>
      </c>
      <c r="G93" s="40"/>
      <c r="H93" s="16"/>
      <c r="I93" s="16"/>
      <c r="J93" s="9"/>
      <c r="K93" s="9"/>
      <c r="L93" s="16"/>
    </row>
    <row r="94" spans="1:12">
      <c r="A94" s="1" t="s">
        <v>3579</v>
      </c>
      <c r="B94" s="7">
        <v>31.62</v>
      </c>
      <c r="C94" s="7">
        <v>31.62</v>
      </c>
      <c r="D94" s="16">
        <f t="shared" si="0"/>
        <v>0</v>
      </c>
      <c r="E94" s="9">
        <v>30.82</v>
      </c>
      <c r="F94" s="16">
        <f t="shared" si="1"/>
        <v>2.5957170668397169E-2</v>
      </c>
      <c r="G94" s="40"/>
      <c r="H94" s="16"/>
      <c r="I94" s="16"/>
      <c r="J94" s="9"/>
      <c r="K94" s="9"/>
      <c r="L94" s="16"/>
    </row>
    <row r="95" spans="1:12">
      <c r="A95" s="1" t="s">
        <v>3580</v>
      </c>
      <c r="B95" s="7"/>
      <c r="C95" s="7"/>
      <c r="D95" s="16"/>
      <c r="E95" s="9"/>
      <c r="F95" s="16"/>
      <c r="G95" s="40"/>
      <c r="H95" s="16"/>
      <c r="I95" s="16"/>
      <c r="J95" s="9"/>
      <c r="K95" s="9"/>
      <c r="L95" s="16"/>
    </row>
    <row r="96" spans="1:12">
      <c r="A96" s="1" t="s">
        <v>3581</v>
      </c>
      <c r="B96" s="7">
        <v>31.62</v>
      </c>
      <c r="C96" s="7">
        <v>31.62</v>
      </c>
      <c r="D96" s="16">
        <f t="shared" si="0"/>
        <v>0</v>
      </c>
      <c r="E96" s="9">
        <v>30.82</v>
      </c>
      <c r="F96" s="16">
        <f t="shared" si="1"/>
        <v>2.5957170668397169E-2</v>
      </c>
      <c r="G96" s="40"/>
      <c r="H96" s="16"/>
      <c r="I96" s="16"/>
      <c r="J96" s="9"/>
      <c r="K96" s="9"/>
      <c r="L96" s="16"/>
    </row>
    <row r="97" spans="1:12">
      <c r="A97" s="1" t="s">
        <v>3582</v>
      </c>
      <c r="B97" s="7">
        <v>31.32</v>
      </c>
      <c r="C97" s="7">
        <v>31.32</v>
      </c>
      <c r="D97" s="16">
        <f t="shared" si="0"/>
        <v>0</v>
      </c>
      <c r="E97" s="9">
        <v>30.82</v>
      </c>
      <c r="F97" s="16">
        <f t="shared" si="1"/>
        <v>1.6223231667748216E-2</v>
      </c>
      <c r="G97" s="40"/>
      <c r="H97" s="16"/>
      <c r="I97" s="16"/>
      <c r="J97" s="9"/>
      <c r="K97" s="9"/>
      <c r="L97" s="16"/>
    </row>
    <row r="98" spans="1:12">
      <c r="A98" s="1" t="s">
        <v>3583</v>
      </c>
      <c r="B98" s="7">
        <v>30.97</v>
      </c>
      <c r="C98" s="7">
        <v>30.97</v>
      </c>
      <c r="D98" s="16">
        <f t="shared" si="0"/>
        <v>0</v>
      </c>
      <c r="E98" s="9">
        <v>30.82</v>
      </c>
      <c r="F98" s="16">
        <f t="shared" si="1"/>
        <v>4.8669695003244187E-3</v>
      </c>
      <c r="G98" s="40"/>
      <c r="H98" s="16"/>
      <c r="I98" s="16"/>
      <c r="J98" s="9"/>
      <c r="K98" s="9"/>
      <c r="L98" s="16"/>
    </row>
    <row r="99" spans="1:12">
      <c r="A99" s="1" t="s">
        <v>3584</v>
      </c>
      <c r="B99" s="7">
        <v>32.020000000000003</v>
      </c>
      <c r="C99" s="7">
        <v>32.020000000000003</v>
      </c>
      <c r="D99" s="16">
        <f t="shared" si="0"/>
        <v>0</v>
      </c>
      <c r="E99" s="9">
        <v>30.82</v>
      </c>
      <c r="F99" s="16">
        <f t="shared" si="1"/>
        <v>3.8935756002595807E-2</v>
      </c>
      <c r="G99" s="40"/>
      <c r="H99" s="16"/>
      <c r="I99" s="16"/>
      <c r="J99" s="9"/>
      <c r="K99" s="9"/>
      <c r="L99" s="16"/>
    </row>
    <row r="100" spans="1:12">
      <c r="A100" s="143"/>
      <c r="B100" s="143"/>
      <c r="C100" s="7"/>
      <c r="D100" s="16"/>
      <c r="E100" s="9"/>
      <c r="F100" s="16"/>
      <c r="G100" s="40"/>
      <c r="H100" s="16"/>
      <c r="I100" s="16"/>
      <c r="J100" s="9"/>
      <c r="K100" s="9"/>
      <c r="L100" s="16"/>
    </row>
    <row r="101" spans="1:12" ht="38.25">
      <c r="A101" s="2" t="s">
        <v>3585</v>
      </c>
      <c r="B101" s="12" t="s">
        <v>3586</v>
      </c>
      <c r="C101" s="31"/>
      <c r="D101" s="43"/>
      <c r="E101" s="44"/>
      <c r="F101" s="43"/>
      <c r="G101" s="23" t="s">
        <v>3983</v>
      </c>
      <c r="H101" s="43">
        <f>AVERAGE(F102:F104)</f>
        <v>-7.6331395690213549E-4</v>
      </c>
      <c r="I101" s="43"/>
      <c r="J101" s="44"/>
      <c r="K101" s="44"/>
      <c r="L101" s="43"/>
    </row>
    <row r="102" spans="1:12">
      <c r="A102" s="1" t="s">
        <v>3784</v>
      </c>
      <c r="B102" s="7">
        <v>57.06</v>
      </c>
      <c r="C102" s="7">
        <v>54.56</v>
      </c>
      <c r="D102" s="16">
        <f>(C102-B102)/B102</f>
        <v>-4.3813529617946018E-2</v>
      </c>
      <c r="E102" s="9">
        <v>56.77</v>
      </c>
      <c r="F102" s="16">
        <f>(C102-E102)/E102</f>
        <v>-3.8929011802008119E-2</v>
      </c>
      <c r="G102" s="40"/>
      <c r="H102" s="16"/>
      <c r="I102" s="16"/>
      <c r="J102" s="9"/>
      <c r="K102" s="9"/>
      <c r="L102" s="16"/>
    </row>
    <row r="103" spans="1:12">
      <c r="A103" s="1" t="s">
        <v>3588</v>
      </c>
      <c r="B103" s="7">
        <v>59.56</v>
      </c>
      <c r="C103" s="7">
        <v>57.06</v>
      </c>
      <c r="D103" s="16">
        <f>(C103-B103)/B103</f>
        <v>-4.1974479516453993E-2</v>
      </c>
      <c r="E103" s="9">
        <v>56.77</v>
      </c>
      <c r="F103" s="16">
        <f>(C103-E103)/E103</f>
        <v>5.1083318654218625E-3</v>
      </c>
      <c r="G103" s="40"/>
      <c r="H103" s="16"/>
      <c r="I103" s="16"/>
      <c r="J103" s="9"/>
      <c r="K103" s="9"/>
      <c r="L103" s="16"/>
    </row>
    <row r="104" spans="1:12">
      <c r="A104" s="1" t="s">
        <v>3589</v>
      </c>
      <c r="B104" s="7">
        <v>61.06</v>
      </c>
      <c r="C104" s="7">
        <v>58.56</v>
      </c>
      <c r="D104" s="16">
        <f>(C104-B104)/B104</f>
        <v>-4.0943334425155582E-2</v>
      </c>
      <c r="E104" s="9">
        <v>56.77</v>
      </c>
      <c r="F104" s="16">
        <f>(C104-E104)/E104</f>
        <v>3.1530738065879853E-2</v>
      </c>
      <c r="G104" s="40"/>
      <c r="H104" s="16"/>
      <c r="I104" s="16"/>
      <c r="J104" s="9"/>
      <c r="K104" s="9"/>
      <c r="L104" s="16"/>
    </row>
    <row r="105" spans="1:12">
      <c r="A105" s="143"/>
      <c r="B105" s="143"/>
      <c r="C105" s="7"/>
      <c r="D105" s="16"/>
      <c r="E105" s="9"/>
      <c r="F105" s="16"/>
      <c r="G105" s="40"/>
      <c r="H105" s="16"/>
      <c r="I105" s="16"/>
      <c r="J105" s="9"/>
      <c r="K105" s="9"/>
      <c r="L105" s="16"/>
    </row>
    <row r="106" spans="1:12">
      <c r="A106" s="2" t="s">
        <v>3590</v>
      </c>
      <c r="B106" s="7"/>
      <c r="C106" s="31"/>
      <c r="D106" s="43"/>
      <c r="E106" s="44"/>
      <c r="F106" s="43"/>
      <c r="G106" s="23" t="s">
        <v>3984</v>
      </c>
      <c r="H106" s="43"/>
      <c r="I106" s="43">
        <f>AVERAGE(F107)</f>
        <v>0</v>
      </c>
      <c r="J106" s="44"/>
      <c r="K106" s="44"/>
      <c r="L106" s="43"/>
    </row>
    <row r="107" spans="1:12">
      <c r="A107" s="1" t="s">
        <v>3591</v>
      </c>
      <c r="B107" s="7">
        <v>49.7</v>
      </c>
      <c r="C107" s="7">
        <v>25.01</v>
      </c>
      <c r="D107" s="16">
        <f>(C107-B107)/B107</f>
        <v>-0.49678068410462778</v>
      </c>
      <c r="E107" s="9">
        <v>25.01</v>
      </c>
      <c r="F107" s="16">
        <f>(C107-E107)/E107</f>
        <v>0</v>
      </c>
      <c r="G107" s="40"/>
      <c r="H107" s="16"/>
      <c r="I107" s="16"/>
      <c r="J107" s="9"/>
      <c r="K107" s="9"/>
      <c r="L107" s="16"/>
    </row>
    <row r="108" spans="1:12">
      <c r="A108" s="143"/>
      <c r="B108" s="143"/>
      <c r="C108" s="7"/>
      <c r="D108" s="16"/>
      <c r="E108" s="9"/>
      <c r="F108" s="16"/>
      <c r="G108" s="40"/>
      <c r="H108" s="16"/>
      <c r="I108" s="16"/>
      <c r="J108" s="9"/>
      <c r="K108" s="9"/>
      <c r="L108" s="16"/>
    </row>
    <row r="109" spans="1:12" ht="25.5" customHeight="1">
      <c r="A109" s="2" t="s">
        <v>3942</v>
      </c>
      <c r="B109" s="147" t="s">
        <v>3510</v>
      </c>
      <c r="C109" s="147" t="s">
        <v>3510</v>
      </c>
      <c r="D109" s="43"/>
      <c r="E109" s="44"/>
      <c r="F109" s="43"/>
      <c r="G109" s="23" t="s">
        <v>3983</v>
      </c>
      <c r="H109" s="43">
        <f>AVERAGE(F111:F162)</f>
        <v>8.8751982432597215E-2</v>
      </c>
      <c r="I109" s="43"/>
      <c r="J109" s="44"/>
      <c r="K109" s="44"/>
      <c r="L109" s="43"/>
    </row>
    <row r="110" spans="1:12">
      <c r="A110" s="3" t="s">
        <v>3569</v>
      </c>
      <c r="B110" s="147"/>
      <c r="C110" s="147"/>
      <c r="D110" s="16"/>
      <c r="E110" s="9"/>
      <c r="F110" s="16"/>
      <c r="G110" s="40"/>
      <c r="H110" s="16"/>
      <c r="I110" s="16"/>
      <c r="J110" s="9"/>
      <c r="K110" s="9"/>
      <c r="L110" s="16"/>
    </row>
    <row r="111" spans="1:12">
      <c r="A111" s="1" t="s">
        <v>3573</v>
      </c>
      <c r="B111" s="7">
        <v>41.33</v>
      </c>
      <c r="C111" s="7">
        <v>43.08</v>
      </c>
      <c r="D111" s="16">
        <f t="shared" ref="D111:D126" si="2">(C111-B111)/B111</f>
        <v>4.2342124364868138E-2</v>
      </c>
      <c r="E111" s="9">
        <v>46.84</v>
      </c>
      <c r="F111" s="16">
        <f t="shared" ref="F111:F126" si="3">(C111-E111)/E111</f>
        <v>-8.0273270708796002E-2</v>
      </c>
      <c r="G111" s="40"/>
      <c r="H111" s="16"/>
      <c r="I111" s="16"/>
      <c r="J111" s="9"/>
      <c r="K111" s="9"/>
      <c r="L111" s="16"/>
    </row>
    <row r="112" spans="1:12">
      <c r="A112" s="1" t="s">
        <v>3574</v>
      </c>
      <c r="B112" s="7">
        <v>44.09</v>
      </c>
      <c r="C112" s="7">
        <v>45.84</v>
      </c>
      <c r="D112" s="16">
        <f t="shared" si="2"/>
        <v>3.9691540031753229E-2</v>
      </c>
      <c r="E112" s="9">
        <v>46.84</v>
      </c>
      <c r="F112" s="16">
        <f t="shared" si="3"/>
        <v>-2.1349274124679761E-2</v>
      </c>
      <c r="G112" s="40"/>
      <c r="H112" s="16"/>
      <c r="I112" s="16"/>
      <c r="J112" s="9"/>
      <c r="K112" s="9"/>
      <c r="L112" s="16"/>
    </row>
    <row r="113" spans="1:12">
      <c r="A113" s="1" t="s">
        <v>3575</v>
      </c>
      <c r="B113" s="7">
        <v>44.62</v>
      </c>
      <c r="C113" s="7">
        <v>46.37</v>
      </c>
      <c r="D113" s="16">
        <f t="shared" si="2"/>
        <v>3.9220080681308833E-2</v>
      </c>
      <c r="E113" s="9">
        <v>46.84</v>
      </c>
      <c r="F113" s="16">
        <f t="shared" si="3"/>
        <v>-1.0034158838599615E-2</v>
      </c>
      <c r="G113" s="40"/>
      <c r="H113" s="16"/>
      <c r="I113" s="16"/>
      <c r="J113" s="9"/>
      <c r="K113" s="9"/>
      <c r="L113" s="16"/>
    </row>
    <row r="114" spans="1:12">
      <c r="A114" s="1" t="s">
        <v>3576</v>
      </c>
      <c r="B114" s="7">
        <v>44.89</v>
      </c>
      <c r="C114" s="7">
        <v>46.64</v>
      </c>
      <c r="D114" s="16">
        <f t="shared" si="2"/>
        <v>3.8984183559812875E-2</v>
      </c>
      <c r="E114" s="9">
        <v>46.84</v>
      </c>
      <c r="F114" s="16">
        <f t="shared" si="3"/>
        <v>-4.2698548249360127E-3</v>
      </c>
      <c r="G114" s="40"/>
      <c r="H114" s="16"/>
      <c r="I114" s="16"/>
      <c r="J114" s="9"/>
      <c r="K114" s="9"/>
      <c r="L114" s="16"/>
    </row>
    <row r="115" spans="1:12">
      <c r="A115" s="1" t="s">
        <v>3577</v>
      </c>
      <c r="B115" s="7">
        <v>45.63</v>
      </c>
      <c r="C115" s="7">
        <v>47.38</v>
      </c>
      <c r="D115" s="16">
        <f t="shared" si="2"/>
        <v>3.8351961428884501E-2</v>
      </c>
      <c r="E115" s="9">
        <v>46.84</v>
      </c>
      <c r="F115" s="16">
        <f t="shared" si="3"/>
        <v>1.1528608027327051E-2</v>
      </c>
      <c r="G115" s="40"/>
      <c r="H115" s="16"/>
      <c r="I115" s="16"/>
      <c r="J115" s="9"/>
      <c r="K115" s="9"/>
      <c r="L115" s="16"/>
    </row>
    <row r="116" spans="1:12">
      <c r="A116" s="1" t="s">
        <v>3579</v>
      </c>
      <c r="B116" s="7">
        <v>45.93</v>
      </c>
      <c r="C116" s="7">
        <v>47.68</v>
      </c>
      <c r="D116" s="16">
        <f t="shared" si="2"/>
        <v>3.8101458741563246E-2</v>
      </c>
      <c r="E116" s="9">
        <v>46.84</v>
      </c>
      <c r="F116" s="16">
        <f t="shared" si="3"/>
        <v>1.7933390264730918E-2</v>
      </c>
      <c r="G116" s="40"/>
      <c r="H116" s="16"/>
      <c r="I116" s="16"/>
      <c r="J116" s="9"/>
      <c r="K116" s="9"/>
      <c r="L116" s="16"/>
    </row>
    <row r="117" spans="1:12">
      <c r="A117" s="1" t="s">
        <v>3580</v>
      </c>
      <c r="B117" s="7">
        <v>46.1</v>
      </c>
      <c r="C117" s="7">
        <v>47.85</v>
      </c>
      <c r="D117" s="16">
        <f t="shared" si="2"/>
        <v>3.7960954446854663E-2</v>
      </c>
      <c r="E117" s="9">
        <v>46.84</v>
      </c>
      <c r="F117" s="16">
        <f t="shared" si="3"/>
        <v>2.1562766865926515E-2</v>
      </c>
      <c r="G117" s="40"/>
      <c r="H117" s="16"/>
      <c r="I117" s="16"/>
      <c r="J117" s="9"/>
      <c r="K117" s="9"/>
      <c r="L117" s="16"/>
    </row>
    <row r="118" spans="1:12">
      <c r="A118" s="1" t="s">
        <v>3593</v>
      </c>
      <c r="B118" s="7">
        <v>46.35</v>
      </c>
      <c r="C118" s="7">
        <v>48.1</v>
      </c>
      <c r="D118" s="16">
        <f t="shared" si="2"/>
        <v>3.7756202804746494E-2</v>
      </c>
      <c r="E118" s="9">
        <v>46.84</v>
      </c>
      <c r="F118" s="16">
        <f t="shared" si="3"/>
        <v>2.6900085397096454E-2</v>
      </c>
      <c r="G118" s="40"/>
      <c r="H118" s="16"/>
      <c r="I118" s="16"/>
      <c r="J118" s="9"/>
      <c r="K118" s="9"/>
      <c r="L118" s="16"/>
    </row>
    <row r="119" spans="1:12">
      <c r="A119" s="1" t="s">
        <v>3594</v>
      </c>
      <c r="B119" s="7">
        <v>46.94</v>
      </c>
      <c r="C119" s="7">
        <v>48.69</v>
      </c>
      <c r="D119" s="16">
        <f t="shared" si="2"/>
        <v>3.7281636131231359E-2</v>
      </c>
      <c r="E119" s="9">
        <v>46.84</v>
      </c>
      <c r="F119" s="16">
        <f t="shared" si="3"/>
        <v>3.9496157130657433E-2</v>
      </c>
      <c r="G119" s="40"/>
      <c r="H119" s="16"/>
      <c r="I119" s="16"/>
      <c r="J119" s="9"/>
      <c r="K119" s="9"/>
      <c r="L119" s="16"/>
    </row>
    <row r="120" spans="1:12">
      <c r="A120" s="1" t="s">
        <v>3595</v>
      </c>
      <c r="B120" s="7">
        <v>47.26</v>
      </c>
      <c r="C120" s="7">
        <v>49.01</v>
      </c>
      <c r="D120" s="16">
        <f t="shared" si="2"/>
        <v>3.7029200169276348E-2</v>
      </c>
      <c r="E120" s="9">
        <v>46.84</v>
      </c>
      <c r="F120" s="16">
        <f t="shared" si="3"/>
        <v>4.6327924850554959E-2</v>
      </c>
      <c r="G120" s="40"/>
      <c r="H120" s="16"/>
      <c r="I120" s="16"/>
      <c r="J120" s="9"/>
      <c r="K120" s="9"/>
      <c r="L120" s="16"/>
    </row>
    <row r="121" spans="1:12">
      <c r="A121" s="1" t="s">
        <v>3596</v>
      </c>
      <c r="B121" s="7">
        <v>47.61</v>
      </c>
      <c r="C121" s="7">
        <v>49.36</v>
      </c>
      <c r="D121" s="16">
        <f t="shared" si="2"/>
        <v>3.6756983826927117E-2</v>
      </c>
      <c r="E121" s="9">
        <v>46.84</v>
      </c>
      <c r="F121" s="16">
        <f t="shared" si="3"/>
        <v>5.3800170794192907E-2</v>
      </c>
      <c r="G121" s="40"/>
      <c r="H121" s="16"/>
      <c r="I121" s="16"/>
      <c r="J121" s="9"/>
      <c r="K121" s="9"/>
      <c r="L121" s="16"/>
    </row>
    <row r="122" spans="1:12">
      <c r="A122" s="1" t="s">
        <v>3597</v>
      </c>
      <c r="B122" s="7">
        <v>47.8</v>
      </c>
      <c r="C122" s="7">
        <v>49.55</v>
      </c>
      <c r="D122" s="16">
        <f t="shared" si="2"/>
        <v>3.6610878661087871E-2</v>
      </c>
      <c r="E122" s="9">
        <v>46.84</v>
      </c>
      <c r="F122" s="16">
        <f t="shared" si="3"/>
        <v>5.7856532877882012E-2</v>
      </c>
      <c r="G122" s="40"/>
      <c r="H122" s="16"/>
      <c r="I122" s="16"/>
      <c r="J122" s="9"/>
      <c r="K122" s="9"/>
      <c r="L122" s="16"/>
    </row>
    <row r="123" spans="1:12">
      <c r="A123" s="1" t="s">
        <v>3598</v>
      </c>
      <c r="B123" s="7">
        <v>48.04</v>
      </c>
      <c r="C123" s="7">
        <v>49.79</v>
      </c>
      <c r="D123" s="16">
        <f t="shared" si="2"/>
        <v>3.6427976686094925E-2</v>
      </c>
      <c r="E123" s="9">
        <v>46.84</v>
      </c>
      <c r="F123" s="16">
        <f t="shared" si="3"/>
        <v>6.29803586678052E-2</v>
      </c>
      <c r="G123" s="40"/>
      <c r="H123" s="16"/>
      <c r="I123" s="16"/>
      <c r="J123" s="9"/>
      <c r="K123" s="9"/>
      <c r="L123" s="16"/>
    </row>
    <row r="124" spans="1:12">
      <c r="A124" s="1" t="s">
        <v>3599</v>
      </c>
      <c r="B124" s="7">
        <v>49.68</v>
      </c>
      <c r="C124" s="7">
        <v>51.43</v>
      </c>
      <c r="D124" s="16">
        <f t="shared" si="2"/>
        <v>3.5225442834138483E-2</v>
      </c>
      <c r="E124" s="9">
        <v>46.84</v>
      </c>
      <c r="F124" s="16">
        <f t="shared" si="3"/>
        <v>9.799316823228002E-2</v>
      </c>
      <c r="G124" s="40"/>
      <c r="H124" s="16"/>
      <c r="I124" s="16"/>
      <c r="J124" s="9"/>
      <c r="K124" s="9"/>
      <c r="L124" s="16"/>
    </row>
    <row r="125" spans="1:12">
      <c r="A125" s="1" t="s">
        <v>3600</v>
      </c>
      <c r="B125" s="7">
        <v>50.49</v>
      </c>
      <c r="C125" s="7">
        <v>52.24</v>
      </c>
      <c r="D125" s="16">
        <f t="shared" si="2"/>
        <v>3.4660328777975834E-2</v>
      </c>
      <c r="E125" s="9">
        <v>46.84</v>
      </c>
      <c r="F125" s="16">
        <f t="shared" si="3"/>
        <v>0.11528608027327067</v>
      </c>
      <c r="G125" s="40"/>
      <c r="H125" s="16"/>
      <c r="I125" s="16"/>
      <c r="J125" s="9"/>
      <c r="K125" s="9"/>
      <c r="L125" s="16"/>
    </row>
    <row r="126" spans="1:12">
      <c r="A126" s="1" t="s">
        <v>3601</v>
      </c>
      <c r="B126" s="7">
        <v>49.68</v>
      </c>
      <c r="C126" s="7">
        <v>51.43</v>
      </c>
      <c r="D126" s="16">
        <f t="shared" si="2"/>
        <v>3.5225442834138483E-2</v>
      </c>
      <c r="E126" s="9">
        <v>46.84</v>
      </c>
      <c r="F126" s="16">
        <f t="shared" si="3"/>
        <v>9.799316823228002E-2</v>
      </c>
      <c r="G126" s="40"/>
      <c r="H126" s="16"/>
      <c r="I126" s="16"/>
      <c r="J126" s="9"/>
      <c r="K126" s="9"/>
      <c r="L126" s="16"/>
    </row>
    <row r="127" spans="1:12">
      <c r="A127" s="1" t="s">
        <v>3602</v>
      </c>
      <c r="B127" s="11" t="s">
        <v>3534</v>
      </c>
      <c r="C127" s="11" t="s">
        <v>3534</v>
      </c>
      <c r="D127" s="16"/>
      <c r="E127" s="9"/>
      <c r="F127" s="16"/>
      <c r="G127" s="40"/>
      <c r="H127" s="16"/>
      <c r="I127" s="16"/>
      <c r="J127" s="9"/>
      <c r="K127" s="9"/>
      <c r="L127" s="16"/>
    </row>
    <row r="128" spans="1:12">
      <c r="A128" s="1" t="s">
        <v>3603</v>
      </c>
      <c r="B128" s="11" t="s">
        <v>3534</v>
      </c>
      <c r="C128" s="11" t="s">
        <v>3534</v>
      </c>
      <c r="D128" s="16"/>
      <c r="E128" s="9"/>
      <c r="F128" s="16"/>
      <c r="G128" s="40"/>
      <c r="H128" s="16"/>
      <c r="I128" s="16"/>
      <c r="J128" s="9"/>
      <c r="K128" s="9"/>
      <c r="L128" s="16"/>
    </row>
    <row r="129" spans="1:12">
      <c r="A129" s="143"/>
      <c r="B129" s="143"/>
      <c r="C129" s="7"/>
      <c r="D129" s="16"/>
      <c r="E129" s="9"/>
      <c r="F129" s="16"/>
      <c r="G129" s="40"/>
      <c r="H129" s="16"/>
      <c r="I129" s="16"/>
      <c r="J129" s="9"/>
      <c r="K129" s="9"/>
      <c r="L129" s="16"/>
    </row>
    <row r="130" spans="1:12" ht="25.5" customHeight="1">
      <c r="A130" s="2" t="s">
        <v>3604</v>
      </c>
      <c r="B130" s="147" t="s">
        <v>3510</v>
      </c>
      <c r="C130" s="147" t="s">
        <v>3510</v>
      </c>
      <c r="D130" s="16"/>
      <c r="E130" s="9"/>
      <c r="F130" s="16"/>
      <c r="G130" s="40"/>
      <c r="H130" s="16"/>
      <c r="I130" s="16"/>
      <c r="J130" s="9"/>
      <c r="K130" s="9"/>
      <c r="L130" s="16"/>
    </row>
    <row r="131" spans="1:12">
      <c r="A131" s="3" t="s">
        <v>3569</v>
      </c>
      <c r="B131" s="147"/>
      <c r="C131" s="147"/>
      <c r="D131" s="16"/>
      <c r="E131" s="9"/>
      <c r="F131" s="16"/>
      <c r="G131" s="40"/>
      <c r="H131" s="16"/>
      <c r="I131" s="16"/>
      <c r="J131" s="9"/>
      <c r="K131" s="9"/>
      <c r="L131" s="16"/>
    </row>
    <row r="132" spans="1:12">
      <c r="A132" s="1" t="s">
        <v>3573</v>
      </c>
      <c r="B132" s="7">
        <v>56.63</v>
      </c>
      <c r="C132" s="7">
        <v>58.38</v>
      </c>
      <c r="D132" s="16">
        <f t="shared" ref="D132:D143" si="4">(C132-B132)/B132</f>
        <v>3.0902348578491962E-2</v>
      </c>
      <c r="E132" s="9">
        <v>46.84</v>
      </c>
      <c r="F132" s="16">
        <f t="shared" ref="F132:F143" si="5">(C132-E132)/E132</f>
        <v>0.24637062339880442</v>
      </c>
      <c r="G132" s="40"/>
      <c r="H132" s="16"/>
      <c r="I132" s="16"/>
      <c r="J132" s="9"/>
      <c r="K132" s="9"/>
      <c r="L132" s="16"/>
    </row>
    <row r="133" spans="1:12">
      <c r="A133" s="1" t="s">
        <v>3605</v>
      </c>
      <c r="B133" s="7">
        <v>50.46</v>
      </c>
      <c r="C133" s="7">
        <v>52.21</v>
      </c>
      <c r="D133" s="16">
        <f t="shared" si="4"/>
        <v>3.4680935394371781E-2</v>
      </c>
      <c r="E133" s="9">
        <v>46.84</v>
      </c>
      <c r="F133" s="16">
        <f t="shared" si="5"/>
        <v>0.11464560204953025</v>
      </c>
      <c r="G133" s="40"/>
      <c r="H133" s="16"/>
      <c r="I133" s="16"/>
      <c r="J133" s="9"/>
      <c r="K133" s="9"/>
      <c r="L133" s="16"/>
    </row>
    <row r="134" spans="1:12">
      <c r="A134" s="1" t="s">
        <v>3606</v>
      </c>
      <c r="B134" s="7">
        <v>48.5</v>
      </c>
      <c r="C134" s="7">
        <v>50.25</v>
      </c>
      <c r="D134" s="16">
        <f t="shared" si="4"/>
        <v>3.608247422680412E-2</v>
      </c>
      <c r="E134" s="9">
        <v>46.84</v>
      </c>
      <c r="F134" s="16">
        <f t="shared" si="5"/>
        <v>7.2801024765157901E-2</v>
      </c>
      <c r="G134" s="40"/>
      <c r="H134" s="16"/>
      <c r="I134" s="16"/>
      <c r="J134" s="9"/>
      <c r="K134" s="9"/>
      <c r="L134" s="16"/>
    </row>
    <row r="135" spans="1:12">
      <c r="A135" s="1" t="s">
        <v>3575</v>
      </c>
      <c r="B135" s="7">
        <v>55.12</v>
      </c>
      <c r="C135" s="7">
        <v>56.87</v>
      </c>
      <c r="D135" s="16">
        <f t="shared" si="4"/>
        <v>3.17489114658926E-2</v>
      </c>
      <c r="E135" s="9">
        <v>46.84</v>
      </c>
      <c r="F135" s="16">
        <f t="shared" si="5"/>
        <v>0.21413321947053787</v>
      </c>
      <c r="G135" s="40"/>
      <c r="H135" s="16"/>
      <c r="I135" s="16"/>
      <c r="J135" s="9"/>
      <c r="K135" s="9"/>
      <c r="L135" s="16"/>
    </row>
    <row r="136" spans="1:12">
      <c r="A136" s="1" t="s">
        <v>3607</v>
      </c>
      <c r="B136" s="7">
        <v>50.21</v>
      </c>
      <c r="C136" s="7">
        <v>51.96</v>
      </c>
      <c r="D136" s="16">
        <f t="shared" si="4"/>
        <v>3.4853614817765388E-2</v>
      </c>
      <c r="E136" s="9">
        <v>46.84</v>
      </c>
      <c r="F136" s="16">
        <f t="shared" si="5"/>
        <v>0.10930828351836032</v>
      </c>
      <c r="G136" s="40"/>
      <c r="H136" s="16"/>
      <c r="I136" s="16"/>
      <c r="J136" s="9"/>
      <c r="K136" s="9"/>
      <c r="L136" s="16"/>
    </row>
    <row r="137" spans="1:12">
      <c r="A137" s="1" t="s">
        <v>3608</v>
      </c>
      <c r="B137" s="7">
        <v>48.29</v>
      </c>
      <c r="C137" s="7">
        <v>50.04</v>
      </c>
      <c r="D137" s="16">
        <f t="shared" si="4"/>
        <v>3.6239387036653553E-2</v>
      </c>
      <c r="E137" s="9">
        <v>46.84</v>
      </c>
      <c r="F137" s="16">
        <f t="shared" si="5"/>
        <v>6.8317677198975135E-2</v>
      </c>
      <c r="G137" s="40"/>
      <c r="H137" s="16"/>
      <c r="I137" s="16"/>
      <c r="J137" s="9"/>
      <c r="K137" s="9"/>
      <c r="L137" s="16"/>
    </row>
    <row r="138" spans="1:12">
      <c r="A138" s="1" t="s">
        <v>3576</v>
      </c>
      <c r="B138" s="7">
        <v>53.88</v>
      </c>
      <c r="C138" s="7">
        <v>55.63</v>
      </c>
      <c r="D138" s="16">
        <f t="shared" si="4"/>
        <v>3.2479584261321456E-2</v>
      </c>
      <c r="E138" s="9">
        <v>46.84</v>
      </c>
      <c r="F138" s="16">
        <f t="shared" si="5"/>
        <v>0.18766011955593506</v>
      </c>
      <c r="G138" s="40"/>
      <c r="H138" s="16"/>
      <c r="I138" s="16"/>
      <c r="J138" s="9"/>
      <c r="K138" s="9"/>
      <c r="L138" s="16"/>
    </row>
    <row r="139" spans="1:12">
      <c r="A139" s="1" t="s">
        <v>3609</v>
      </c>
      <c r="B139" s="7">
        <v>49.99</v>
      </c>
      <c r="C139" s="7">
        <v>51.74</v>
      </c>
      <c r="D139" s="16">
        <f t="shared" si="4"/>
        <v>3.5007001400280055E-2</v>
      </c>
      <c r="E139" s="9">
        <v>46.84</v>
      </c>
      <c r="F139" s="16">
        <f t="shared" si="5"/>
        <v>0.10461144321093079</v>
      </c>
      <c r="G139" s="40"/>
      <c r="H139" s="16"/>
      <c r="I139" s="16"/>
      <c r="J139" s="9"/>
      <c r="K139" s="9"/>
      <c r="L139" s="16"/>
    </row>
    <row r="140" spans="1:12">
      <c r="A140" s="1" t="s">
        <v>3610</v>
      </c>
      <c r="B140" s="7">
        <v>48.07</v>
      </c>
      <c r="C140" s="7">
        <v>49.82</v>
      </c>
      <c r="D140" s="16">
        <f t="shared" si="4"/>
        <v>3.6405242354899107E-2</v>
      </c>
      <c r="E140" s="9">
        <v>46.84</v>
      </c>
      <c r="F140" s="16">
        <f t="shared" si="5"/>
        <v>6.3620836891545615E-2</v>
      </c>
      <c r="G140" s="40"/>
      <c r="H140" s="16"/>
      <c r="I140" s="16"/>
      <c r="J140" s="9"/>
      <c r="K140" s="9"/>
      <c r="L140" s="16"/>
    </row>
    <row r="141" spans="1:12">
      <c r="A141" s="1" t="s">
        <v>3611</v>
      </c>
      <c r="B141" s="7">
        <v>49.66</v>
      </c>
      <c r="C141" s="7">
        <v>51.41</v>
      </c>
      <c r="D141" s="16">
        <f t="shared" si="4"/>
        <v>3.5239629480467181E-2</v>
      </c>
      <c r="E141" s="9">
        <v>46.84</v>
      </c>
      <c r="F141" s="16">
        <f t="shared" si="5"/>
        <v>9.7566182749786359E-2</v>
      </c>
      <c r="G141" s="40"/>
      <c r="H141" s="16"/>
      <c r="I141" s="16"/>
      <c r="J141" s="9"/>
      <c r="K141" s="9"/>
      <c r="L141" s="16"/>
    </row>
    <row r="142" spans="1:12">
      <c r="A142" s="1" t="s">
        <v>3577</v>
      </c>
      <c r="B142" s="7">
        <v>52.15</v>
      </c>
      <c r="C142" s="7">
        <v>53.9</v>
      </c>
      <c r="D142" s="16">
        <f t="shared" si="4"/>
        <v>3.3557046979865772E-2</v>
      </c>
      <c r="E142" s="9">
        <v>46.84</v>
      </c>
      <c r="F142" s="16">
        <f t="shared" si="5"/>
        <v>0.15072587532023901</v>
      </c>
      <c r="G142" s="40"/>
      <c r="H142" s="16"/>
      <c r="I142" s="16"/>
      <c r="J142" s="9"/>
      <c r="K142" s="9"/>
      <c r="L142" s="16"/>
    </row>
    <row r="143" spans="1:12">
      <c r="A143" s="1" t="s">
        <v>3579</v>
      </c>
      <c r="B143" s="7">
        <v>51.05</v>
      </c>
      <c r="C143" s="7">
        <v>52.8</v>
      </c>
      <c r="D143" s="16">
        <f t="shared" si="4"/>
        <v>3.4280117531831543E-2</v>
      </c>
      <c r="E143" s="9">
        <v>46.84</v>
      </c>
      <c r="F143" s="16">
        <f t="shared" si="5"/>
        <v>0.12724167378309123</v>
      </c>
      <c r="G143" s="40"/>
      <c r="H143" s="16"/>
      <c r="I143" s="16"/>
      <c r="J143" s="9"/>
      <c r="K143" s="9"/>
      <c r="L143" s="16"/>
    </row>
    <row r="144" spans="1:12">
      <c r="A144" s="1" t="s">
        <v>3602</v>
      </c>
      <c r="B144" s="11" t="s">
        <v>3534</v>
      </c>
      <c r="C144" s="11" t="s">
        <v>3534</v>
      </c>
      <c r="D144" s="16"/>
      <c r="E144" s="9"/>
      <c r="F144" s="16"/>
      <c r="G144" s="40"/>
      <c r="H144" s="16"/>
      <c r="I144" s="16"/>
      <c r="J144" s="9"/>
      <c r="K144" s="9"/>
      <c r="L144" s="16"/>
    </row>
    <row r="145" spans="1:12" ht="25.5">
      <c r="A145" s="1" t="s">
        <v>3612</v>
      </c>
      <c r="B145" s="7"/>
      <c r="C145" s="7"/>
      <c r="D145" s="16"/>
      <c r="E145" s="9"/>
      <c r="F145" s="16"/>
      <c r="G145" s="40"/>
      <c r="H145" s="16"/>
      <c r="I145" s="16"/>
      <c r="J145" s="9"/>
      <c r="K145" s="9"/>
      <c r="L145" s="16"/>
    </row>
    <row r="146" spans="1:12">
      <c r="A146" s="1"/>
      <c r="B146" s="7"/>
      <c r="C146" s="7"/>
      <c r="D146" s="16"/>
      <c r="E146" s="9"/>
      <c r="F146" s="16"/>
      <c r="G146" s="40"/>
      <c r="H146" s="16"/>
      <c r="I146" s="16"/>
      <c r="J146" s="9"/>
      <c r="K146" s="9"/>
      <c r="L146" s="16"/>
    </row>
    <row r="147" spans="1:12" ht="25.5" customHeight="1">
      <c r="A147" s="2" t="s">
        <v>3613</v>
      </c>
      <c r="B147" s="147" t="s">
        <v>3510</v>
      </c>
      <c r="C147" s="147" t="s">
        <v>3510</v>
      </c>
      <c r="D147" s="16"/>
      <c r="E147" s="9"/>
      <c r="F147" s="16"/>
      <c r="G147" s="23" t="s">
        <v>3983</v>
      </c>
      <c r="H147" s="16"/>
      <c r="I147" s="16"/>
      <c r="J147" s="9"/>
      <c r="K147" s="9"/>
      <c r="L147" s="16"/>
    </row>
    <row r="148" spans="1:12">
      <c r="A148" s="3" t="s">
        <v>3569</v>
      </c>
      <c r="B148" s="147"/>
      <c r="C148" s="147"/>
      <c r="D148" s="16"/>
      <c r="E148" s="9"/>
      <c r="F148" s="16"/>
      <c r="G148" s="40"/>
      <c r="H148" s="16"/>
      <c r="I148" s="16"/>
      <c r="J148" s="9"/>
      <c r="K148" s="9"/>
      <c r="L148" s="16"/>
    </row>
    <row r="149" spans="1:12">
      <c r="A149" s="1" t="s">
        <v>3573</v>
      </c>
      <c r="B149" s="7">
        <v>56.1</v>
      </c>
      <c r="C149" s="7">
        <v>57.85</v>
      </c>
      <c r="D149" s="16">
        <f t="shared" ref="D149:D162" si="6">(C149-B149)/B149</f>
        <v>3.1194295900178252E-2</v>
      </c>
      <c r="E149" s="9">
        <v>46.84</v>
      </c>
      <c r="F149" s="16">
        <f t="shared" ref="F149:F162" si="7">(C149-E149)/E149</f>
        <v>0.2350555081127241</v>
      </c>
      <c r="G149" s="40"/>
      <c r="H149" s="16"/>
      <c r="I149" s="16"/>
      <c r="J149" s="9"/>
      <c r="K149" s="9"/>
      <c r="L149" s="16"/>
    </row>
    <row r="150" spans="1:12">
      <c r="A150" s="1" t="s">
        <v>3605</v>
      </c>
      <c r="B150" s="7">
        <v>50.64</v>
      </c>
      <c r="C150" s="7">
        <v>52.39</v>
      </c>
      <c r="D150" s="16">
        <f t="shared" si="6"/>
        <v>3.4557661927330174E-2</v>
      </c>
      <c r="E150" s="9">
        <v>46.84</v>
      </c>
      <c r="F150" s="16">
        <f t="shared" si="7"/>
        <v>0.11848847139197261</v>
      </c>
      <c r="G150" s="40"/>
      <c r="H150" s="16"/>
      <c r="I150" s="16"/>
      <c r="J150" s="9"/>
      <c r="K150" s="9"/>
      <c r="L150" s="16"/>
    </row>
    <row r="151" spans="1:12">
      <c r="A151" s="1" t="s">
        <v>3606</v>
      </c>
      <c r="B151" s="7">
        <v>48.72</v>
      </c>
      <c r="C151" s="7">
        <v>50.47</v>
      </c>
      <c r="D151" s="16">
        <f t="shared" si="6"/>
        <v>3.5919540229885055E-2</v>
      </c>
      <c r="E151" s="9">
        <v>46.84</v>
      </c>
      <c r="F151" s="16">
        <f t="shared" si="7"/>
        <v>7.7497865072587435E-2</v>
      </c>
      <c r="G151" s="40"/>
      <c r="H151" s="16"/>
      <c r="I151" s="16"/>
      <c r="J151" s="9"/>
      <c r="K151" s="9"/>
      <c r="L151" s="16"/>
    </row>
    <row r="152" spans="1:12">
      <c r="A152" s="1" t="s">
        <v>3575</v>
      </c>
      <c r="B152" s="7">
        <v>54.56</v>
      </c>
      <c r="C152" s="7">
        <v>56.31</v>
      </c>
      <c r="D152" s="16">
        <f t="shared" si="6"/>
        <v>3.2074780058651026E-2</v>
      </c>
      <c r="E152" s="9">
        <v>46.84</v>
      </c>
      <c r="F152" s="16">
        <f t="shared" si="7"/>
        <v>0.20217762596071728</v>
      </c>
      <c r="G152" s="40"/>
      <c r="H152" s="16"/>
      <c r="I152" s="16"/>
      <c r="J152" s="9"/>
      <c r="K152" s="9"/>
      <c r="L152" s="16"/>
    </row>
    <row r="153" spans="1:12">
      <c r="A153" s="1" t="s">
        <v>3607</v>
      </c>
      <c r="B153" s="7">
        <v>50.43</v>
      </c>
      <c r="C153" s="7">
        <v>52.18</v>
      </c>
      <c r="D153" s="16">
        <f t="shared" si="6"/>
        <v>3.4701566527860397E-2</v>
      </c>
      <c r="E153" s="9">
        <v>46.84</v>
      </c>
      <c r="F153" s="16">
        <f t="shared" si="7"/>
        <v>0.11400512382578984</v>
      </c>
      <c r="G153" s="40"/>
      <c r="H153" s="16"/>
      <c r="I153" s="16"/>
      <c r="J153" s="9"/>
      <c r="K153" s="9"/>
      <c r="L153" s="16"/>
    </row>
    <row r="154" spans="1:12">
      <c r="A154" s="1" t="s">
        <v>3608</v>
      </c>
      <c r="B154" s="7">
        <v>48.52</v>
      </c>
      <c r="C154" s="7">
        <v>50.27</v>
      </c>
      <c r="D154" s="16">
        <f t="shared" si="6"/>
        <v>3.6067600989282765E-2</v>
      </c>
      <c r="E154" s="9">
        <v>46.84</v>
      </c>
      <c r="F154" s="16">
        <f t="shared" si="7"/>
        <v>7.3228010247651562E-2</v>
      </c>
      <c r="G154" s="40"/>
      <c r="H154" s="16"/>
      <c r="I154" s="16"/>
      <c r="J154" s="9"/>
      <c r="K154" s="9"/>
      <c r="L154" s="16"/>
    </row>
    <row r="155" spans="1:12">
      <c r="A155" s="1" t="s">
        <v>3576</v>
      </c>
      <c r="B155" s="7">
        <v>53.11</v>
      </c>
      <c r="C155" s="7">
        <v>54.86</v>
      </c>
      <c r="D155" s="16">
        <f t="shared" si="6"/>
        <v>3.2950480135567693E-2</v>
      </c>
      <c r="E155" s="9">
        <v>46.84</v>
      </c>
      <c r="F155" s="16">
        <f t="shared" si="7"/>
        <v>0.1712211784799316</v>
      </c>
      <c r="G155" s="40"/>
      <c r="H155" s="16"/>
      <c r="I155" s="16"/>
      <c r="J155" s="9"/>
      <c r="K155" s="9"/>
      <c r="L155" s="16"/>
    </row>
    <row r="156" spans="1:12">
      <c r="A156" s="1" t="s">
        <v>3609</v>
      </c>
      <c r="B156" s="7">
        <v>50.21</v>
      </c>
      <c r="C156" s="7">
        <v>51.96</v>
      </c>
      <c r="D156" s="16">
        <f t="shared" si="6"/>
        <v>3.4853614817765388E-2</v>
      </c>
      <c r="E156" s="9">
        <v>46.84</v>
      </c>
      <c r="F156" s="16">
        <f t="shared" si="7"/>
        <v>0.10930828351836032</v>
      </c>
      <c r="G156" s="40"/>
      <c r="H156" s="16"/>
      <c r="I156" s="16"/>
      <c r="J156" s="9"/>
      <c r="K156" s="9"/>
      <c r="L156" s="16"/>
    </row>
    <row r="157" spans="1:12">
      <c r="A157" s="1" t="s">
        <v>3610</v>
      </c>
      <c r="B157" s="7">
        <v>48.29</v>
      </c>
      <c r="C157" s="7">
        <v>50.04</v>
      </c>
      <c r="D157" s="16">
        <f t="shared" si="6"/>
        <v>3.6239387036653553E-2</v>
      </c>
      <c r="E157" s="9">
        <v>46.84</v>
      </c>
      <c r="F157" s="16">
        <f t="shared" si="7"/>
        <v>6.8317677198975135E-2</v>
      </c>
      <c r="G157" s="40"/>
      <c r="H157" s="16"/>
      <c r="I157" s="16"/>
      <c r="J157" s="9"/>
      <c r="K157" s="9"/>
      <c r="L157" s="16"/>
    </row>
    <row r="158" spans="1:12">
      <c r="A158" s="1" t="s">
        <v>3577</v>
      </c>
      <c r="B158" s="7">
        <v>51.6</v>
      </c>
      <c r="C158" s="7">
        <v>53.35</v>
      </c>
      <c r="D158" s="16">
        <f t="shared" si="6"/>
        <v>3.391472868217054E-2</v>
      </c>
      <c r="E158" s="9">
        <v>46.84</v>
      </c>
      <c r="F158" s="16">
        <f t="shared" si="7"/>
        <v>0.13898377455166519</v>
      </c>
      <c r="G158" s="40"/>
      <c r="H158" s="16"/>
      <c r="I158" s="16"/>
      <c r="J158" s="9"/>
      <c r="K158" s="9"/>
      <c r="L158" s="16"/>
    </row>
    <row r="159" spans="1:12">
      <c r="A159" s="1" t="s">
        <v>3579</v>
      </c>
      <c r="B159" s="7">
        <v>50.49</v>
      </c>
      <c r="C159" s="7">
        <v>52.24</v>
      </c>
      <c r="D159" s="16">
        <f t="shared" si="6"/>
        <v>3.4660328777975834E-2</v>
      </c>
      <c r="E159" s="9">
        <v>46.84</v>
      </c>
      <c r="F159" s="16">
        <f t="shared" si="7"/>
        <v>0.11528608027327067</v>
      </c>
      <c r="G159" s="40"/>
      <c r="H159" s="16"/>
      <c r="I159" s="16"/>
      <c r="J159" s="9"/>
      <c r="K159" s="9"/>
      <c r="L159" s="16"/>
    </row>
    <row r="160" spans="1:12">
      <c r="A160" s="1" t="s">
        <v>3580</v>
      </c>
      <c r="B160" s="7">
        <v>49.38</v>
      </c>
      <c r="C160" s="7">
        <v>51.13</v>
      </c>
      <c r="D160" s="16">
        <f t="shared" si="6"/>
        <v>3.5439449169704332E-2</v>
      </c>
      <c r="E160" s="9">
        <v>46.84</v>
      </c>
      <c r="F160" s="16">
        <f t="shared" si="7"/>
        <v>9.1588385994876148E-2</v>
      </c>
      <c r="G160" s="40"/>
      <c r="H160" s="16"/>
      <c r="I160" s="16"/>
      <c r="J160" s="9"/>
      <c r="K160" s="9"/>
      <c r="L160" s="16"/>
    </row>
    <row r="161" spans="1:12">
      <c r="A161" s="1" t="s">
        <v>3593</v>
      </c>
      <c r="B161" s="7">
        <v>48.42</v>
      </c>
      <c r="C161" s="7">
        <v>50.17</v>
      </c>
      <c r="D161" s="16">
        <f t="shared" si="6"/>
        <v>3.6142090045435768E-2</v>
      </c>
      <c r="E161" s="9">
        <v>46.84</v>
      </c>
      <c r="F161" s="16">
        <f t="shared" si="7"/>
        <v>7.1093082835183563E-2</v>
      </c>
      <c r="G161" s="40"/>
      <c r="H161" s="16"/>
      <c r="I161" s="16"/>
      <c r="J161" s="9"/>
      <c r="K161" s="9"/>
      <c r="L161" s="16"/>
    </row>
    <row r="162" spans="1:12">
      <c r="A162" s="1" t="s">
        <v>3594</v>
      </c>
      <c r="B162" s="7">
        <v>47.46</v>
      </c>
      <c r="C162" s="7">
        <v>49.21</v>
      </c>
      <c r="D162" s="16">
        <f t="shared" si="6"/>
        <v>3.687315634218289E-2</v>
      </c>
      <c r="E162" s="9">
        <v>46.84</v>
      </c>
      <c r="F162" s="16">
        <f t="shared" si="7"/>
        <v>5.0597779675490978E-2</v>
      </c>
      <c r="G162" s="40"/>
      <c r="H162" s="16"/>
      <c r="I162" s="16"/>
      <c r="J162" s="9"/>
      <c r="K162" s="9"/>
      <c r="L162" s="16"/>
    </row>
    <row r="163" spans="1:12">
      <c r="A163" s="1" t="s">
        <v>3614</v>
      </c>
      <c r="B163" s="11" t="s">
        <v>3534</v>
      </c>
      <c r="C163" s="11" t="s">
        <v>3534</v>
      </c>
      <c r="D163" s="16"/>
      <c r="E163" s="9"/>
      <c r="F163" s="16"/>
      <c r="G163" s="40"/>
      <c r="H163" s="16"/>
      <c r="I163" s="16"/>
      <c r="J163" s="9"/>
      <c r="K163" s="9"/>
      <c r="L163" s="16"/>
    </row>
    <row r="164" spans="1:12">
      <c r="A164" s="1" t="s">
        <v>3615</v>
      </c>
      <c r="B164" s="11" t="s">
        <v>3534</v>
      </c>
      <c r="C164" s="11" t="s">
        <v>3534</v>
      </c>
      <c r="D164" s="16"/>
      <c r="E164" s="9"/>
      <c r="F164" s="16"/>
      <c r="G164" s="40"/>
      <c r="H164" s="16"/>
      <c r="I164" s="16"/>
      <c r="J164" s="9"/>
      <c r="K164" s="9"/>
      <c r="L164" s="16"/>
    </row>
    <row r="165" spans="1:12">
      <c r="A165" s="1"/>
      <c r="B165" s="7"/>
      <c r="C165" s="7"/>
      <c r="D165" s="16"/>
      <c r="E165" s="9"/>
      <c r="F165" s="16"/>
      <c r="G165" s="40"/>
      <c r="H165" s="16"/>
      <c r="I165" s="16"/>
      <c r="J165" s="9"/>
      <c r="K165" s="9"/>
      <c r="L165" s="16"/>
    </row>
    <row r="166" spans="1:12">
      <c r="A166" s="1"/>
      <c r="B166" s="7"/>
      <c r="C166" s="7"/>
      <c r="D166" s="16"/>
      <c r="E166" s="9"/>
      <c r="F166" s="16"/>
      <c r="G166" s="40"/>
      <c r="H166" s="16"/>
      <c r="I166" s="16"/>
      <c r="J166" s="9"/>
      <c r="K166" s="9"/>
      <c r="L166" s="16"/>
    </row>
    <row r="167" spans="1:12" ht="12.75" customHeight="1">
      <c r="A167" s="144" t="s">
        <v>3616</v>
      </c>
      <c r="B167" s="144"/>
      <c r="C167" s="31"/>
      <c r="D167" s="43"/>
      <c r="E167" s="44"/>
      <c r="F167" s="43"/>
      <c r="G167" s="23" t="s">
        <v>3983</v>
      </c>
      <c r="H167" s="43">
        <f>AVERAGE(F168:F175)</f>
        <v>2.3979902557856234E-2</v>
      </c>
      <c r="I167" s="43"/>
      <c r="J167" s="44"/>
      <c r="K167" s="44"/>
      <c r="L167" s="43"/>
    </row>
    <row r="168" spans="1:12">
      <c r="A168" s="1" t="s">
        <v>3617</v>
      </c>
      <c r="B168" s="7">
        <v>32.74</v>
      </c>
      <c r="C168" s="7">
        <v>32.74</v>
      </c>
      <c r="D168" s="16">
        <f t="shared" ref="D168:D175" si="8">(C168-B168)/B168</f>
        <v>0</v>
      </c>
      <c r="E168" s="9">
        <v>32.840000000000003</v>
      </c>
      <c r="F168" s="16">
        <f t="shared" ref="F168:F175" si="9">(C168-E168)/E168</f>
        <v>-3.0450669914738552E-3</v>
      </c>
      <c r="G168" s="40"/>
      <c r="H168" s="16"/>
      <c r="I168" s="16"/>
      <c r="J168" s="9"/>
      <c r="K168" s="9"/>
      <c r="L168" s="16"/>
    </row>
    <row r="169" spans="1:12">
      <c r="A169" s="1" t="s">
        <v>3618</v>
      </c>
      <c r="B169" s="7">
        <v>33.590000000000003</v>
      </c>
      <c r="C169" s="7">
        <v>33.590000000000003</v>
      </c>
      <c r="D169" s="16">
        <f t="shared" si="8"/>
        <v>0</v>
      </c>
      <c r="E169" s="9">
        <v>32.840000000000003</v>
      </c>
      <c r="F169" s="16">
        <f t="shared" si="9"/>
        <v>2.2838002436053592E-2</v>
      </c>
      <c r="G169" s="40"/>
      <c r="H169" s="16"/>
      <c r="I169" s="16"/>
      <c r="J169" s="9"/>
      <c r="K169" s="9"/>
      <c r="L169" s="16"/>
    </row>
    <row r="170" spans="1:12">
      <c r="A170" s="1" t="s">
        <v>3619</v>
      </c>
      <c r="B170" s="7">
        <v>33.24</v>
      </c>
      <c r="C170" s="7">
        <v>33.24</v>
      </c>
      <c r="D170" s="16">
        <f t="shared" si="8"/>
        <v>0</v>
      </c>
      <c r="E170" s="9">
        <v>32.840000000000003</v>
      </c>
      <c r="F170" s="16">
        <f t="shared" si="9"/>
        <v>1.2180267965895206E-2</v>
      </c>
      <c r="G170" s="40"/>
      <c r="H170" s="16"/>
      <c r="I170" s="16"/>
      <c r="J170" s="9"/>
      <c r="K170" s="9"/>
      <c r="L170" s="16"/>
    </row>
    <row r="171" spans="1:12">
      <c r="A171" s="1" t="s">
        <v>3620</v>
      </c>
      <c r="B171" s="7">
        <v>33.74</v>
      </c>
      <c r="C171" s="7">
        <v>33.74</v>
      </c>
      <c r="D171" s="16">
        <f t="shared" si="8"/>
        <v>0</v>
      </c>
      <c r="E171" s="9">
        <v>32.840000000000003</v>
      </c>
      <c r="F171" s="16">
        <f t="shared" si="9"/>
        <v>2.7405602923264265E-2</v>
      </c>
      <c r="G171" s="40"/>
      <c r="H171" s="16"/>
      <c r="I171" s="16"/>
      <c r="J171" s="9"/>
      <c r="K171" s="9"/>
      <c r="L171" s="16"/>
    </row>
    <row r="172" spans="1:12">
      <c r="A172" s="1" t="s">
        <v>3621</v>
      </c>
      <c r="B172" s="7">
        <v>34.74</v>
      </c>
      <c r="C172" s="7">
        <v>34.74</v>
      </c>
      <c r="D172" s="16">
        <f t="shared" si="8"/>
        <v>0</v>
      </c>
      <c r="E172" s="9">
        <v>32.840000000000003</v>
      </c>
      <c r="F172" s="16">
        <f t="shared" si="9"/>
        <v>5.785627283800239E-2</v>
      </c>
      <c r="G172" s="40"/>
      <c r="H172" s="16"/>
      <c r="I172" s="16"/>
      <c r="J172" s="9"/>
      <c r="K172" s="9"/>
      <c r="L172" s="16"/>
    </row>
    <row r="173" spans="1:12">
      <c r="A173" s="1" t="s">
        <v>3622</v>
      </c>
      <c r="B173" s="7">
        <v>33.24</v>
      </c>
      <c r="C173" s="7">
        <v>33.24</v>
      </c>
      <c r="D173" s="16">
        <f t="shared" si="8"/>
        <v>0</v>
      </c>
      <c r="E173" s="9">
        <v>32.840000000000003</v>
      </c>
      <c r="F173" s="16">
        <f t="shared" si="9"/>
        <v>1.2180267965895206E-2</v>
      </c>
      <c r="G173" s="40"/>
      <c r="H173" s="16"/>
      <c r="I173" s="16"/>
      <c r="J173" s="9"/>
      <c r="K173" s="9"/>
      <c r="L173" s="16"/>
    </row>
    <row r="174" spans="1:12">
      <c r="A174" s="1" t="s">
        <v>3623</v>
      </c>
      <c r="B174" s="7">
        <v>33.74</v>
      </c>
      <c r="C174" s="7">
        <v>33.74</v>
      </c>
      <c r="D174" s="16">
        <f t="shared" si="8"/>
        <v>0</v>
      </c>
      <c r="E174" s="9">
        <v>32.840000000000003</v>
      </c>
      <c r="F174" s="16">
        <f t="shared" si="9"/>
        <v>2.7405602923264265E-2</v>
      </c>
      <c r="G174" s="40"/>
      <c r="H174" s="16"/>
      <c r="I174" s="16"/>
      <c r="J174" s="9"/>
      <c r="K174" s="9"/>
      <c r="L174" s="16"/>
    </row>
    <row r="175" spans="1:12">
      <c r="A175" s="1" t="s">
        <v>3624</v>
      </c>
      <c r="B175" s="7">
        <v>33.99</v>
      </c>
      <c r="C175" s="7">
        <v>33.99</v>
      </c>
      <c r="D175" s="16">
        <f t="shared" si="8"/>
        <v>0</v>
      </c>
      <c r="E175" s="9">
        <v>32.840000000000003</v>
      </c>
      <c r="F175" s="16">
        <f t="shared" si="9"/>
        <v>3.5018270401948798E-2</v>
      </c>
      <c r="G175" s="40"/>
      <c r="H175" s="16"/>
      <c r="I175" s="16"/>
      <c r="J175" s="9"/>
      <c r="K175" s="9"/>
      <c r="L175" s="16"/>
    </row>
    <row r="176" spans="1:12" ht="12.75" customHeight="1">
      <c r="A176" s="143" t="s">
        <v>3970</v>
      </c>
      <c r="B176" s="143"/>
      <c r="C176" s="7"/>
      <c r="D176" s="16"/>
      <c r="E176" s="9"/>
      <c r="F176" s="16"/>
      <c r="G176" s="40"/>
      <c r="H176" s="16"/>
      <c r="I176" s="16"/>
      <c r="J176" s="9"/>
      <c r="K176" s="9"/>
      <c r="L176" s="16"/>
    </row>
    <row r="177" spans="1:12">
      <c r="A177" s="143"/>
      <c r="B177" s="143"/>
      <c r="C177" s="7"/>
      <c r="D177" s="16"/>
      <c r="E177" s="9"/>
      <c r="F177" s="16"/>
      <c r="G177" s="40"/>
      <c r="H177" s="16"/>
      <c r="I177" s="16"/>
      <c r="J177" s="9"/>
      <c r="K177" s="9"/>
      <c r="L177" s="16"/>
    </row>
    <row r="178" spans="1:12" ht="12.75" customHeight="1">
      <c r="A178" s="144" t="s">
        <v>3626</v>
      </c>
      <c r="B178" s="144"/>
      <c r="C178" s="10"/>
      <c r="D178" s="16"/>
      <c r="E178" s="9"/>
      <c r="F178" s="16"/>
      <c r="G178" s="40"/>
      <c r="H178" s="16"/>
      <c r="I178" s="16"/>
      <c r="J178" s="9"/>
      <c r="K178" s="9"/>
      <c r="L178" s="16"/>
    </row>
    <row r="179" spans="1:12">
      <c r="A179" s="1" t="s">
        <v>3627</v>
      </c>
      <c r="B179" s="7">
        <v>58.47</v>
      </c>
      <c r="C179" s="7">
        <v>58.47</v>
      </c>
      <c r="D179" s="16">
        <f>(C179-B179)/B179</f>
        <v>0</v>
      </c>
      <c r="E179" s="9"/>
      <c r="F179" s="16"/>
      <c r="G179" s="40"/>
      <c r="H179" s="16"/>
      <c r="I179" s="16"/>
      <c r="J179" s="9"/>
      <c r="K179" s="9"/>
      <c r="L179" s="16"/>
    </row>
    <row r="180" spans="1:12">
      <c r="A180" s="1" t="s">
        <v>3628</v>
      </c>
      <c r="B180" s="7">
        <v>62.05</v>
      </c>
      <c r="C180" s="7">
        <v>62.05</v>
      </c>
      <c r="D180" s="16">
        <f>(C180-B180)/B180</f>
        <v>0</v>
      </c>
      <c r="E180" s="9"/>
      <c r="F180" s="16"/>
      <c r="G180" s="40"/>
      <c r="H180" s="16"/>
      <c r="I180" s="16"/>
      <c r="J180" s="9"/>
      <c r="K180" s="9"/>
      <c r="L180" s="16"/>
    </row>
    <row r="181" spans="1:12">
      <c r="A181" s="143"/>
      <c r="B181" s="143"/>
      <c r="C181" s="7"/>
      <c r="D181" s="16"/>
      <c r="E181" s="9"/>
      <c r="F181" s="16"/>
      <c r="G181" s="40"/>
      <c r="H181" s="16"/>
      <c r="I181" s="16"/>
      <c r="J181" s="9"/>
      <c r="K181" s="9"/>
      <c r="L181" s="16"/>
    </row>
    <row r="182" spans="1:12" ht="38.25">
      <c r="A182" s="2" t="s">
        <v>3629</v>
      </c>
      <c r="B182" s="12" t="s">
        <v>3510</v>
      </c>
      <c r="C182" s="55" t="s">
        <v>3480</v>
      </c>
      <c r="D182" s="43"/>
      <c r="E182" s="44"/>
      <c r="F182" s="43"/>
      <c r="G182" s="23" t="s">
        <v>3983</v>
      </c>
      <c r="H182" s="43">
        <f>AVERAGE(F183:F184)</f>
        <v>1.7143666761122243E-2</v>
      </c>
      <c r="I182" s="43"/>
      <c r="J182" s="44"/>
      <c r="K182" s="44"/>
      <c r="L182" s="43"/>
    </row>
    <row r="183" spans="1:12">
      <c r="A183" s="1" t="s">
        <v>3630</v>
      </c>
      <c r="B183" s="7">
        <v>34.270000000000003</v>
      </c>
      <c r="C183" s="7">
        <v>34.770000000000003</v>
      </c>
      <c r="D183" s="16">
        <f>(C183-B183)/B183</f>
        <v>1.4590020426028595E-2</v>
      </c>
      <c r="E183" s="9">
        <v>35.29</v>
      </c>
      <c r="F183" s="16">
        <f>(C183-E183)/E183</f>
        <v>-1.4735052422782545E-2</v>
      </c>
      <c r="G183" s="40"/>
      <c r="H183" s="16"/>
      <c r="I183" s="16"/>
      <c r="J183" s="9"/>
      <c r="K183" s="9"/>
      <c r="L183" s="16"/>
    </row>
    <row r="184" spans="1:12">
      <c r="A184" s="1" t="s">
        <v>3631</v>
      </c>
      <c r="B184" s="7">
        <v>35.590000000000003</v>
      </c>
      <c r="C184" s="7">
        <v>37.020000000000003</v>
      </c>
      <c r="D184" s="16">
        <f>(C184-B184)/B184</f>
        <v>4.017982579376228E-2</v>
      </c>
      <c r="E184" s="9">
        <v>35.29</v>
      </c>
      <c r="F184" s="16">
        <f>(C184-E184)/E184</f>
        <v>4.9022385945027031E-2</v>
      </c>
      <c r="G184" s="40"/>
      <c r="H184" s="16"/>
      <c r="I184" s="16"/>
      <c r="J184" s="9"/>
      <c r="K184" s="9"/>
      <c r="L184" s="16"/>
    </row>
    <row r="185" spans="1:12">
      <c r="A185" s="1"/>
      <c r="B185" s="7"/>
      <c r="C185" s="7"/>
      <c r="D185" s="16"/>
      <c r="E185" s="9"/>
      <c r="F185" s="16"/>
      <c r="G185" s="40"/>
      <c r="H185" s="16"/>
      <c r="I185" s="16"/>
      <c r="J185" s="9"/>
      <c r="K185" s="9"/>
      <c r="L185" s="16"/>
    </row>
    <row r="186" spans="1:12">
      <c r="A186" s="2" t="s">
        <v>3632</v>
      </c>
      <c r="B186" s="11" t="s">
        <v>3534</v>
      </c>
      <c r="C186" s="33" t="s">
        <v>3534</v>
      </c>
      <c r="D186" s="43"/>
      <c r="E186" s="44"/>
      <c r="F186" s="43"/>
      <c r="G186" s="23" t="s">
        <v>3984</v>
      </c>
      <c r="H186" s="43"/>
      <c r="I186" s="43">
        <f>AVERAGE(F187:F189)</f>
        <v>0</v>
      </c>
      <c r="J186" s="44"/>
      <c r="K186" s="44"/>
      <c r="L186" s="43"/>
    </row>
    <row r="187" spans="1:12">
      <c r="A187" s="1" t="s">
        <v>3876</v>
      </c>
      <c r="B187" s="7">
        <v>45.2</v>
      </c>
      <c r="C187" s="7">
        <v>25.07</v>
      </c>
      <c r="D187" s="16">
        <f>(C187-B187)/B187</f>
        <v>-0.44535398230088497</v>
      </c>
      <c r="E187" s="9">
        <v>25.07</v>
      </c>
      <c r="F187" s="16">
        <f>(C187-E187)/E187</f>
        <v>0</v>
      </c>
      <c r="G187" s="40"/>
      <c r="H187" s="16"/>
      <c r="I187" s="16"/>
      <c r="J187" s="9"/>
      <c r="K187" s="9"/>
      <c r="L187" s="16"/>
    </row>
    <row r="188" spans="1:12">
      <c r="A188" s="1" t="s">
        <v>3955</v>
      </c>
      <c r="B188" s="7">
        <v>48.16</v>
      </c>
      <c r="C188" s="7">
        <v>25.07</v>
      </c>
      <c r="D188" s="16">
        <f>(C188-B188)/B188</f>
        <v>-0.47944352159468434</v>
      </c>
      <c r="E188" s="9">
        <v>25.07</v>
      </c>
      <c r="F188" s="16">
        <f>(C188-E188)/E188</f>
        <v>0</v>
      </c>
      <c r="G188" s="40"/>
      <c r="H188" s="16"/>
      <c r="I188" s="16"/>
      <c r="J188" s="9"/>
      <c r="K188" s="9"/>
      <c r="L188" s="16"/>
    </row>
    <row r="189" spans="1:12">
      <c r="A189" s="1" t="s">
        <v>3956</v>
      </c>
      <c r="B189" s="7">
        <v>51.12</v>
      </c>
      <c r="C189" s="7">
        <v>25.07</v>
      </c>
      <c r="D189" s="16">
        <f>(C189-B189)/B189</f>
        <v>-0.50958528951486692</v>
      </c>
      <c r="E189" s="9">
        <v>25.07</v>
      </c>
      <c r="F189" s="16">
        <f>(C189-E189)/E189</f>
        <v>0</v>
      </c>
      <c r="G189" s="40"/>
      <c r="H189" s="16"/>
      <c r="I189" s="16"/>
      <c r="J189" s="9"/>
      <c r="K189" s="9"/>
      <c r="L189" s="16"/>
    </row>
    <row r="190" spans="1:12">
      <c r="A190" s="1"/>
      <c r="B190" s="7"/>
      <c r="C190" s="7"/>
      <c r="D190" s="16"/>
      <c r="E190" s="9"/>
      <c r="F190" s="16"/>
      <c r="G190" s="40"/>
      <c r="H190" s="16"/>
      <c r="I190" s="16"/>
      <c r="J190" s="9"/>
      <c r="K190" s="9"/>
      <c r="L190" s="16"/>
    </row>
    <row r="191" spans="1:12">
      <c r="A191" s="2" t="s">
        <v>3636</v>
      </c>
      <c r="B191" s="7"/>
      <c r="C191" s="31"/>
      <c r="D191" s="43"/>
      <c r="E191" s="44"/>
      <c r="F191" s="43"/>
      <c r="G191" s="23" t="s">
        <v>3983</v>
      </c>
      <c r="H191" s="43">
        <f>AVERAGE(F192)</f>
        <v>5.5622732769043982E-3</v>
      </c>
      <c r="I191" s="43"/>
      <c r="J191" s="44"/>
      <c r="K191" s="44"/>
      <c r="L191" s="43"/>
    </row>
    <row r="192" spans="1:12">
      <c r="A192" s="1" t="s">
        <v>3696</v>
      </c>
      <c r="B192" s="7">
        <v>39.58</v>
      </c>
      <c r="C192" s="7">
        <v>41.58</v>
      </c>
      <c r="D192" s="16">
        <f>(C192-B192)/B192</f>
        <v>5.0530570995452252E-2</v>
      </c>
      <c r="E192" s="9">
        <v>41.35</v>
      </c>
      <c r="F192" s="16">
        <f>(C192-E192)/E192</f>
        <v>5.5622732769043982E-3</v>
      </c>
      <c r="G192" s="40"/>
      <c r="H192" s="16"/>
      <c r="I192" s="16"/>
      <c r="J192" s="9"/>
      <c r="K192" s="9"/>
      <c r="L192" s="16"/>
    </row>
    <row r="193" spans="1:12">
      <c r="A193" s="1"/>
      <c r="B193" s="7"/>
      <c r="C193" s="7"/>
      <c r="D193" s="16"/>
      <c r="E193" s="9"/>
      <c r="F193" s="16"/>
      <c r="G193" s="40"/>
      <c r="H193" s="16"/>
      <c r="I193" s="16"/>
      <c r="J193" s="9"/>
      <c r="K193" s="9"/>
      <c r="L193" s="16"/>
    </row>
    <row r="194" spans="1:12">
      <c r="A194" s="2" t="s">
        <v>3879</v>
      </c>
      <c r="B194" s="152"/>
      <c r="C194" s="151"/>
      <c r="D194" s="43"/>
      <c r="E194" s="44"/>
      <c r="F194" s="43"/>
      <c r="G194" s="23" t="s">
        <v>3984</v>
      </c>
      <c r="H194" s="43"/>
      <c r="I194" s="43">
        <f>AVERAGE(F196)</f>
        <v>2.3027927486526156E-2</v>
      </c>
      <c r="J194" s="44"/>
      <c r="K194" s="44"/>
      <c r="L194" s="43"/>
    </row>
    <row r="195" spans="1:12">
      <c r="A195" s="1" t="s">
        <v>3880</v>
      </c>
      <c r="B195" s="152"/>
      <c r="C195" s="151"/>
      <c r="D195" s="43"/>
      <c r="E195" s="44"/>
      <c r="F195" s="43"/>
      <c r="H195" s="43"/>
      <c r="I195" s="43"/>
      <c r="J195" s="44"/>
      <c r="K195" s="44"/>
      <c r="L195" s="43"/>
    </row>
    <row r="196" spans="1:12">
      <c r="A196" s="1" t="s">
        <v>3915</v>
      </c>
      <c r="B196" s="7">
        <v>18.57</v>
      </c>
      <c r="C196" s="7">
        <v>20.88</v>
      </c>
      <c r="D196" s="16">
        <f>(C196-B196)/B196</f>
        <v>0.12439418416801286</v>
      </c>
      <c r="E196" s="9">
        <v>20.41</v>
      </c>
      <c r="F196" s="16">
        <f>(C196-E196)/E196</f>
        <v>2.3027927486526156E-2</v>
      </c>
      <c r="G196" s="40"/>
      <c r="H196" s="16"/>
      <c r="I196" s="16"/>
      <c r="J196" s="9"/>
      <c r="K196" s="9"/>
      <c r="L196" s="16"/>
    </row>
    <row r="197" spans="1:12">
      <c r="A197" s="1"/>
      <c r="B197" s="7"/>
      <c r="C197" s="7"/>
      <c r="D197" s="16"/>
      <c r="E197" s="9"/>
      <c r="F197" s="16"/>
      <c r="G197" s="40"/>
      <c r="H197" s="16"/>
      <c r="I197" s="16"/>
      <c r="J197" s="9"/>
      <c r="K197" s="9"/>
      <c r="L197" s="16"/>
    </row>
    <row r="198" spans="1:12" ht="38.25">
      <c r="A198" s="2" t="s">
        <v>3640</v>
      </c>
      <c r="B198" s="12" t="s">
        <v>3510</v>
      </c>
      <c r="C198" s="12" t="s">
        <v>3510</v>
      </c>
      <c r="D198" s="43"/>
      <c r="E198" s="44"/>
      <c r="F198" s="43"/>
      <c r="G198" s="23" t="s">
        <v>3983</v>
      </c>
      <c r="H198" s="43">
        <f>AVERAGE(F199:F201)</f>
        <v>9.9102947458351145E-2</v>
      </c>
      <c r="I198" s="43"/>
      <c r="J198" s="44"/>
      <c r="K198" s="44"/>
      <c r="L198" s="43"/>
    </row>
    <row r="199" spans="1:12">
      <c r="A199" s="1" t="s">
        <v>3641</v>
      </c>
      <c r="B199" s="7">
        <v>46.6</v>
      </c>
      <c r="C199" s="7">
        <v>48.35</v>
      </c>
      <c r="D199" s="16">
        <f>(C199-B199)/B199</f>
        <v>3.7553648068669523E-2</v>
      </c>
      <c r="E199" s="9">
        <v>46.82</v>
      </c>
      <c r="F199" s="16">
        <f>(C199-E199)/E199</f>
        <v>3.267834258863736E-2</v>
      </c>
      <c r="G199" s="40"/>
      <c r="H199" s="16"/>
      <c r="I199" s="16"/>
      <c r="J199" s="9"/>
      <c r="K199" s="9"/>
      <c r="L199" s="16"/>
    </row>
    <row r="200" spans="1:12">
      <c r="A200" s="1" t="s">
        <v>3642</v>
      </c>
      <c r="B200" s="7">
        <v>49.62</v>
      </c>
      <c r="C200" s="7">
        <v>51.46</v>
      </c>
      <c r="D200" s="16">
        <f>(C200-B200)/B200</f>
        <v>3.70818218460299E-2</v>
      </c>
      <c r="E200" s="9">
        <v>46.82</v>
      </c>
      <c r="F200" s="16">
        <f>(C200-E200)/E200</f>
        <v>9.9102947458351145E-2</v>
      </c>
      <c r="G200" s="40"/>
      <c r="H200" s="16"/>
      <c r="I200" s="16"/>
      <c r="J200" s="9"/>
      <c r="K200" s="9"/>
      <c r="L200" s="16"/>
    </row>
    <row r="201" spans="1:12">
      <c r="A201" s="1" t="s">
        <v>3643</v>
      </c>
      <c r="B201" s="7">
        <v>52.64</v>
      </c>
      <c r="C201" s="7">
        <v>54.57</v>
      </c>
      <c r="D201" s="16">
        <f>(C201-B201)/B201</f>
        <v>3.666413373860182E-2</v>
      </c>
      <c r="E201" s="9">
        <v>46.82</v>
      </c>
      <c r="F201" s="16">
        <f>(C201-E201)/E201</f>
        <v>0.16552755232806493</v>
      </c>
      <c r="G201" s="40"/>
      <c r="H201" s="16"/>
      <c r="I201" s="16"/>
      <c r="J201" s="9"/>
      <c r="K201" s="9"/>
      <c r="L201" s="16"/>
    </row>
    <row r="202" spans="1:12">
      <c r="A202" s="1"/>
      <c r="B202" s="7"/>
      <c r="C202" s="7"/>
      <c r="D202" s="16"/>
      <c r="E202" s="9"/>
      <c r="F202" s="16"/>
      <c r="G202" s="40"/>
      <c r="H202" s="16"/>
      <c r="I202" s="16"/>
      <c r="J202" s="9"/>
      <c r="K202" s="9"/>
      <c r="L202" s="16"/>
    </row>
    <row r="203" spans="1:12">
      <c r="A203" s="2" t="s">
        <v>3644</v>
      </c>
      <c r="B203" s="11" t="s">
        <v>3534</v>
      </c>
      <c r="C203" s="33" t="s">
        <v>3534</v>
      </c>
      <c r="D203" s="43"/>
      <c r="E203" s="44"/>
      <c r="F203" s="43"/>
      <c r="G203" s="23" t="s">
        <v>3983</v>
      </c>
      <c r="H203" s="43">
        <f>AVERAGE(F204:F206)</f>
        <v>8.7008700870088041E-3</v>
      </c>
      <c r="I203" s="43"/>
      <c r="J203" s="44"/>
      <c r="K203" s="44"/>
      <c r="L203" s="43"/>
    </row>
    <row r="204" spans="1:12">
      <c r="A204" s="1" t="s">
        <v>3645</v>
      </c>
      <c r="B204" s="7">
        <v>52.3</v>
      </c>
      <c r="C204" s="7">
        <v>53.45</v>
      </c>
      <c r="D204" s="16">
        <f>(C204-B204)/B204</f>
        <v>2.1988527724665502E-2</v>
      </c>
      <c r="E204" s="9">
        <v>55.55</v>
      </c>
      <c r="F204" s="16">
        <f>(C204-E204)/E204</f>
        <v>-3.78037803780377E-2</v>
      </c>
      <c r="G204" s="40"/>
      <c r="H204" s="16"/>
      <c r="I204" s="16"/>
      <c r="J204" s="9"/>
      <c r="K204" s="9"/>
      <c r="L204" s="16"/>
    </row>
    <row r="205" spans="1:12">
      <c r="A205" s="1" t="s">
        <v>3646</v>
      </c>
      <c r="B205" s="7">
        <v>55.05</v>
      </c>
      <c r="C205" s="7">
        <v>56.2</v>
      </c>
      <c r="D205" s="16">
        <f>(C205-B205)/B205</f>
        <v>2.0890099909173582E-2</v>
      </c>
      <c r="E205" s="9">
        <v>55.55</v>
      </c>
      <c r="F205" s="16">
        <f>(C205-E205)/E205</f>
        <v>1.1701170117011803E-2</v>
      </c>
      <c r="G205" s="40"/>
      <c r="H205" s="16"/>
      <c r="I205" s="16"/>
      <c r="J205" s="9"/>
      <c r="K205" s="9"/>
      <c r="L205" s="16"/>
    </row>
    <row r="206" spans="1:12">
      <c r="A206" s="1" t="s">
        <v>3647</v>
      </c>
      <c r="B206" s="7">
        <v>57.3</v>
      </c>
      <c r="C206" s="7">
        <v>58.45</v>
      </c>
      <c r="D206" s="16">
        <f>(C206-B206)/B206</f>
        <v>2.0069808027923311E-2</v>
      </c>
      <c r="E206" s="9">
        <v>55.55</v>
      </c>
      <c r="F206" s="16">
        <f>(C206-E206)/E206</f>
        <v>5.2205220522052308E-2</v>
      </c>
      <c r="G206" s="40"/>
      <c r="H206" s="16"/>
      <c r="I206" s="16"/>
      <c r="J206" s="9"/>
      <c r="K206" s="9"/>
      <c r="L206" s="16"/>
    </row>
    <row r="207" spans="1:12">
      <c r="A207" s="1"/>
      <c r="B207" s="7"/>
      <c r="C207" s="7"/>
      <c r="D207" s="16"/>
      <c r="E207" s="9"/>
      <c r="F207" s="16"/>
      <c r="G207" s="40"/>
      <c r="H207" s="16"/>
      <c r="I207" s="16"/>
      <c r="J207" s="9"/>
      <c r="K207" s="9"/>
      <c r="L207" s="16"/>
    </row>
    <row r="208" spans="1:12" ht="63.75">
      <c r="A208" s="2" t="s">
        <v>3648</v>
      </c>
      <c r="B208" s="12" t="s">
        <v>3649</v>
      </c>
      <c r="C208" s="31"/>
      <c r="D208" s="43"/>
      <c r="E208" s="44"/>
      <c r="F208" s="43"/>
      <c r="G208" s="23" t="s">
        <v>3984</v>
      </c>
      <c r="I208" s="43">
        <f>AVERAGE(F209)</f>
        <v>-0.1974522292993631</v>
      </c>
      <c r="J208" s="44"/>
      <c r="K208" s="44"/>
      <c r="L208" s="43"/>
    </row>
    <row r="209" spans="1:12">
      <c r="A209" s="1" t="s">
        <v>3650</v>
      </c>
      <c r="B209" s="7">
        <v>44.89</v>
      </c>
      <c r="C209" s="7">
        <v>20.16</v>
      </c>
      <c r="D209" s="16">
        <f>(C209-B209)/B209</f>
        <v>-0.55090220539095569</v>
      </c>
      <c r="E209" s="9">
        <v>25.12</v>
      </c>
      <c r="F209" s="16">
        <f>(C209-E209)/E209</f>
        <v>-0.1974522292993631</v>
      </c>
      <c r="G209" s="40"/>
      <c r="H209" s="16"/>
      <c r="I209" s="16"/>
      <c r="J209" s="9"/>
      <c r="K209" s="9"/>
      <c r="L209" s="16"/>
    </row>
    <row r="210" spans="1:12">
      <c r="A210" s="1"/>
      <c r="B210" s="7"/>
      <c r="C210" s="7"/>
      <c r="D210" s="16"/>
      <c r="E210" s="9"/>
      <c r="F210" s="16"/>
      <c r="G210" s="40"/>
      <c r="H210" s="16"/>
      <c r="I210" s="16"/>
      <c r="J210" s="9"/>
      <c r="K210" s="9"/>
      <c r="L210" s="16"/>
    </row>
    <row r="211" spans="1:12">
      <c r="A211" s="2" t="s">
        <v>3651</v>
      </c>
      <c r="B211" s="11" t="s">
        <v>3534</v>
      </c>
      <c r="C211" s="33" t="s">
        <v>3534</v>
      </c>
      <c r="D211" s="43"/>
      <c r="E211" s="44"/>
      <c r="F211" s="43"/>
      <c r="G211" s="23" t="s">
        <v>3983</v>
      </c>
      <c r="H211" s="43">
        <f>AVERAGE(F212)</f>
        <v>1.227678571428565E-2</v>
      </c>
      <c r="I211" s="43"/>
      <c r="J211" s="44"/>
      <c r="K211" s="44"/>
      <c r="L211" s="43"/>
    </row>
    <row r="212" spans="1:12">
      <c r="A212" s="1" t="s">
        <v>3652</v>
      </c>
      <c r="B212" s="7">
        <v>35.49</v>
      </c>
      <c r="C212" s="7">
        <v>36.28</v>
      </c>
      <c r="D212" s="16">
        <f>(C212-B212)/B212</f>
        <v>2.2259791490560697E-2</v>
      </c>
      <c r="E212" s="9">
        <v>35.840000000000003</v>
      </c>
      <c r="F212" s="16">
        <f>(C212-E212)/E212</f>
        <v>1.227678571428565E-2</v>
      </c>
      <c r="G212" s="40"/>
      <c r="H212" s="16"/>
      <c r="I212" s="16"/>
      <c r="J212" s="9"/>
      <c r="K212" s="9"/>
      <c r="L212" s="16"/>
    </row>
    <row r="213" spans="1:12">
      <c r="A213" s="1"/>
      <c r="B213" s="7"/>
      <c r="C213" s="7"/>
      <c r="D213" s="16"/>
      <c r="E213" s="9"/>
      <c r="F213" s="16"/>
      <c r="G213" s="40"/>
      <c r="H213" s="16"/>
      <c r="I213" s="16"/>
      <c r="J213" s="9"/>
      <c r="K213" s="9"/>
      <c r="L213" s="16"/>
    </row>
    <row r="214" spans="1:12" ht="38.25">
      <c r="A214" s="2" t="s">
        <v>3653</v>
      </c>
      <c r="B214" s="12" t="s">
        <v>3977</v>
      </c>
      <c r="C214" s="44" t="s">
        <v>3480</v>
      </c>
      <c r="D214" s="43"/>
      <c r="E214" s="44"/>
      <c r="F214" s="43"/>
      <c r="G214" s="23" t="s">
        <v>3983</v>
      </c>
      <c r="H214" s="43">
        <f>AVERAGE(F215)</f>
        <v>1.0195758564437194E-2</v>
      </c>
      <c r="I214" s="43"/>
      <c r="J214" s="44"/>
      <c r="K214" s="44"/>
      <c r="L214" s="43"/>
    </row>
    <row r="215" spans="1:12">
      <c r="A215" s="1" t="s">
        <v>3654</v>
      </c>
      <c r="B215" s="7">
        <v>32.479999999999997</v>
      </c>
      <c r="C215" s="7">
        <v>24.77</v>
      </c>
      <c r="D215" s="16">
        <f>(C215-B215)/B215</f>
        <v>-0.23737684729064035</v>
      </c>
      <c r="E215" s="9">
        <v>24.52</v>
      </c>
      <c r="F215" s="16">
        <f>(C215-E215)/E215</f>
        <v>1.0195758564437194E-2</v>
      </c>
      <c r="G215" s="40"/>
      <c r="H215" s="16"/>
      <c r="I215" s="16"/>
      <c r="J215" s="9"/>
      <c r="K215" s="9"/>
      <c r="L215" s="16"/>
    </row>
    <row r="216" spans="1:12">
      <c r="A216" s="1"/>
      <c r="B216" s="7"/>
      <c r="C216" s="7"/>
      <c r="D216" s="16"/>
      <c r="E216" s="9"/>
      <c r="F216" s="16"/>
      <c r="G216" s="40"/>
      <c r="H216" s="16"/>
      <c r="I216" s="16"/>
      <c r="J216" s="9"/>
      <c r="K216" s="9"/>
      <c r="L216" s="16"/>
    </row>
    <row r="217" spans="1:12" ht="38.25">
      <c r="A217" s="2" t="s">
        <v>3655</v>
      </c>
      <c r="B217" s="12" t="s">
        <v>3510</v>
      </c>
      <c r="C217" s="44" t="s">
        <v>3480</v>
      </c>
      <c r="D217" s="43"/>
      <c r="E217" s="44"/>
      <c r="F217" s="43"/>
      <c r="G217" s="23" t="s">
        <v>3983</v>
      </c>
      <c r="H217" s="43">
        <f>AVERAGE(F218:F223)</f>
        <v>4.1518034086404983E-2</v>
      </c>
      <c r="I217" s="43"/>
      <c r="J217" s="44"/>
      <c r="K217" s="44"/>
      <c r="L217" s="43"/>
    </row>
    <row r="218" spans="1:12">
      <c r="A218" s="1" t="s">
        <v>3656</v>
      </c>
      <c r="B218" s="7">
        <v>25</v>
      </c>
      <c r="C218" s="7">
        <v>32.869999999999997</v>
      </c>
      <c r="D218" s="16">
        <f t="shared" ref="D218:D223" si="10">(C218-B218)/B218</f>
        <v>0.31479999999999991</v>
      </c>
      <c r="E218" s="9">
        <v>33.64</v>
      </c>
      <c r="F218" s="16">
        <f t="shared" ref="F218:F223" si="11">(C218-E218)/E218</f>
        <v>-2.2889417360285467E-2</v>
      </c>
      <c r="G218" s="40"/>
      <c r="H218" s="16"/>
      <c r="I218" s="16"/>
      <c r="J218" s="9"/>
      <c r="K218" s="9"/>
      <c r="L218" s="16"/>
    </row>
    <row r="219" spans="1:12">
      <c r="A219" s="1" t="s">
        <v>3657</v>
      </c>
      <c r="B219" s="7">
        <v>25</v>
      </c>
      <c r="C219" s="7">
        <v>34.119999999999997</v>
      </c>
      <c r="D219" s="16">
        <f t="shared" si="10"/>
        <v>0.3647999999999999</v>
      </c>
      <c r="E219" s="9">
        <v>33.64</v>
      </c>
      <c r="F219" s="16">
        <f t="shared" si="11"/>
        <v>1.4268727705112868E-2</v>
      </c>
      <c r="G219" s="40"/>
      <c r="H219" s="16"/>
      <c r="I219" s="16"/>
      <c r="J219" s="9"/>
      <c r="K219" s="9"/>
      <c r="L219" s="16"/>
    </row>
    <row r="220" spans="1:12">
      <c r="A220" s="1" t="s">
        <v>3916</v>
      </c>
      <c r="B220" s="7">
        <v>25</v>
      </c>
      <c r="C220" s="7">
        <v>35.869999999999997</v>
      </c>
      <c r="D220" s="16">
        <f t="shared" si="10"/>
        <v>0.43479999999999991</v>
      </c>
      <c r="E220" s="9">
        <v>33.64</v>
      </c>
      <c r="F220" s="16">
        <f t="shared" si="11"/>
        <v>6.6290130796670538E-2</v>
      </c>
      <c r="G220" s="40"/>
      <c r="H220" s="16"/>
      <c r="I220" s="16"/>
      <c r="J220" s="9"/>
      <c r="K220" s="9"/>
      <c r="L220" s="16"/>
    </row>
    <row r="221" spans="1:12">
      <c r="A221" s="1" t="s">
        <v>3659</v>
      </c>
      <c r="B221" s="7">
        <v>25</v>
      </c>
      <c r="C221" s="7">
        <v>34.369999999999997</v>
      </c>
      <c r="D221" s="16">
        <f t="shared" si="10"/>
        <v>0.37479999999999991</v>
      </c>
      <c r="E221" s="9">
        <v>33.64</v>
      </c>
      <c r="F221" s="16">
        <f t="shared" si="11"/>
        <v>2.1700356718192534E-2</v>
      </c>
      <c r="G221" s="40"/>
      <c r="H221" s="16"/>
      <c r="I221" s="16"/>
      <c r="J221" s="9"/>
      <c r="K221" s="9"/>
      <c r="L221" s="16"/>
    </row>
    <row r="222" spans="1:12">
      <c r="A222" s="1" t="s">
        <v>3660</v>
      </c>
      <c r="B222" s="7">
        <v>25</v>
      </c>
      <c r="C222" s="7">
        <v>35.619999999999997</v>
      </c>
      <c r="D222" s="16">
        <f t="shared" si="10"/>
        <v>0.4247999999999999</v>
      </c>
      <c r="E222" s="9">
        <v>33.64</v>
      </c>
      <c r="F222" s="16">
        <f t="shared" si="11"/>
        <v>5.8858501783590866E-2</v>
      </c>
      <c r="G222" s="40"/>
      <c r="H222" s="16"/>
      <c r="I222" s="16"/>
      <c r="J222" s="9"/>
      <c r="K222" s="9"/>
      <c r="L222" s="16"/>
    </row>
    <row r="223" spans="1:12">
      <c r="A223" s="1" t="s">
        <v>3661</v>
      </c>
      <c r="B223" s="7">
        <v>25</v>
      </c>
      <c r="C223" s="7">
        <v>37.369999999999997</v>
      </c>
      <c r="D223" s="16">
        <f t="shared" si="10"/>
        <v>0.49479999999999991</v>
      </c>
      <c r="E223" s="9">
        <v>33.64</v>
      </c>
      <c r="F223" s="16">
        <f t="shared" si="11"/>
        <v>0.11087990487514854</v>
      </c>
      <c r="G223" s="40"/>
      <c r="H223" s="16"/>
      <c r="I223" s="16"/>
      <c r="J223" s="9"/>
      <c r="K223" s="9"/>
      <c r="L223" s="16"/>
    </row>
    <row r="224" spans="1:12">
      <c r="A224" s="1"/>
      <c r="B224" s="7"/>
      <c r="C224" s="7"/>
      <c r="D224" s="16"/>
      <c r="E224" s="9"/>
      <c r="F224" s="16"/>
      <c r="G224" s="40"/>
      <c r="H224" s="16"/>
      <c r="I224" s="16"/>
      <c r="J224" s="9"/>
      <c r="K224" s="9"/>
      <c r="L224" s="16"/>
    </row>
    <row r="225" spans="1:12">
      <c r="A225" s="1"/>
      <c r="B225" s="7"/>
      <c r="C225" s="7"/>
      <c r="D225" s="16"/>
      <c r="E225" s="9"/>
      <c r="F225" s="16"/>
      <c r="G225" s="40"/>
      <c r="H225" s="16"/>
      <c r="I225" s="16"/>
      <c r="J225" s="9"/>
      <c r="K225" s="9"/>
      <c r="L225" s="16"/>
    </row>
    <row r="226" spans="1:12" ht="51">
      <c r="A226" s="2" t="s">
        <v>3662</v>
      </c>
      <c r="B226" s="12" t="s">
        <v>3547</v>
      </c>
      <c r="C226" s="12" t="s">
        <v>3547</v>
      </c>
      <c r="D226" s="43"/>
      <c r="E226" s="44"/>
      <c r="F226" s="43"/>
      <c r="G226" s="23"/>
      <c r="H226" s="43"/>
      <c r="I226" s="43"/>
      <c r="J226" s="44"/>
      <c r="K226" s="44"/>
      <c r="L226" s="43"/>
    </row>
    <row r="227" spans="1:12">
      <c r="A227" s="1" t="s">
        <v>3663</v>
      </c>
      <c r="B227" s="7">
        <v>30.82</v>
      </c>
      <c r="C227" s="7">
        <v>30.82</v>
      </c>
      <c r="D227" s="16">
        <f>(C227-B227)/B227</f>
        <v>0</v>
      </c>
      <c r="E227" s="9"/>
      <c r="F227" s="16"/>
      <c r="G227" s="40"/>
      <c r="H227" s="16"/>
      <c r="I227" s="16"/>
      <c r="J227" s="9"/>
      <c r="K227" s="9"/>
      <c r="L227" s="16"/>
    </row>
    <row r="228" spans="1:12">
      <c r="A228" s="143"/>
      <c r="B228" s="143"/>
      <c r="C228" s="7"/>
      <c r="D228" s="16"/>
      <c r="E228" s="9"/>
      <c r="F228" s="16"/>
      <c r="G228" s="40"/>
      <c r="H228" s="16"/>
      <c r="I228" s="16"/>
      <c r="J228" s="9"/>
      <c r="K228" s="9"/>
      <c r="L228" s="16"/>
    </row>
    <row r="229" spans="1:12">
      <c r="A229" s="2" t="s">
        <v>3664</v>
      </c>
      <c r="B229" s="7"/>
      <c r="C229" s="7"/>
      <c r="D229" s="16"/>
      <c r="E229" s="9"/>
      <c r="F229" s="16"/>
      <c r="G229" s="40"/>
      <c r="H229" s="16"/>
      <c r="I229" s="16"/>
      <c r="J229" s="9"/>
      <c r="K229" s="9"/>
      <c r="L229" s="16"/>
    </row>
    <row r="230" spans="1:12" ht="25.5" customHeight="1">
      <c r="A230" s="145" t="s">
        <v>3700</v>
      </c>
      <c r="B230" s="145"/>
      <c r="C230" s="10" t="s">
        <v>3480</v>
      </c>
      <c r="D230" s="43"/>
      <c r="E230" s="44"/>
      <c r="F230" s="43"/>
      <c r="G230" s="23" t="s">
        <v>3984</v>
      </c>
      <c r="H230" s="43"/>
      <c r="I230" s="43">
        <f>AVERAGE(F231:F278)</f>
        <v>2.1611001964636608E-2</v>
      </c>
      <c r="J230" s="44"/>
      <c r="K230" s="44"/>
      <c r="L230" s="43"/>
    </row>
    <row r="231" spans="1:12">
      <c r="A231" s="1" t="s">
        <v>3701</v>
      </c>
      <c r="B231" s="7">
        <v>21.61</v>
      </c>
      <c r="C231" s="7">
        <v>20.8</v>
      </c>
      <c r="D231" s="16">
        <f t="shared" ref="D231:D241" si="12">(C231-B231)/B231</f>
        <v>-3.7482646922720901E-2</v>
      </c>
      <c r="E231" s="9">
        <v>20.36</v>
      </c>
      <c r="F231" s="16">
        <f t="shared" ref="F231:F241" si="13">(C231-E231)/E231</f>
        <v>2.1611001964636604E-2</v>
      </c>
      <c r="G231" s="40"/>
      <c r="H231" s="16"/>
      <c r="I231" s="16"/>
      <c r="J231" s="9"/>
      <c r="K231" s="9"/>
      <c r="L231" s="16"/>
    </row>
    <row r="232" spans="1:12">
      <c r="A232" s="1" t="s">
        <v>3702</v>
      </c>
      <c r="B232" s="7">
        <v>21.61</v>
      </c>
      <c r="C232" s="7">
        <v>20.8</v>
      </c>
      <c r="D232" s="16">
        <f t="shared" si="12"/>
        <v>-3.7482646922720901E-2</v>
      </c>
      <c r="E232" s="9">
        <v>20.36</v>
      </c>
      <c r="F232" s="16">
        <f t="shared" si="13"/>
        <v>2.1611001964636604E-2</v>
      </c>
      <c r="G232" s="40"/>
      <c r="H232" s="16"/>
      <c r="I232" s="16"/>
      <c r="J232" s="9"/>
      <c r="K232" s="9"/>
      <c r="L232" s="16"/>
    </row>
    <row r="233" spans="1:12">
      <c r="A233" s="1" t="s">
        <v>3703</v>
      </c>
      <c r="B233" s="7">
        <v>21.61</v>
      </c>
      <c r="C233" s="7">
        <v>20.8</v>
      </c>
      <c r="D233" s="16">
        <f t="shared" si="12"/>
        <v>-3.7482646922720901E-2</v>
      </c>
      <c r="E233" s="9">
        <v>20.36</v>
      </c>
      <c r="F233" s="16">
        <f t="shared" si="13"/>
        <v>2.1611001964636604E-2</v>
      </c>
      <c r="G233" s="40"/>
      <c r="H233" s="16"/>
      <c r="I233" s="16"/>
      <c r="J233" s="9"/>
      <c r="K233" s="9"/>
      <c r="L233" s="16"/>
    </row>
    <row r="234" spans="1:12">
      <c r="A234" s="1" t="s">
        <v>3704</v>
      </c>
      <c r="B234" s="7">
        <v>21.61</v>
      </c>
      <c r="C234" s="7">
        <v>20.8</v>
      </c>
      <c r="D234" s="16">
        <f t="shared" si="12"/>
        <v>-3.7482646922720901E-2</v>
      </c>
      <c r="E234" s="9">
        <v>20.36</v>
      </c>
      <c r="F234" s="16">
        <f t="shared" si="13"/>
        <v>2.1611001964636604E-2</v>
      </c>
      <c r="G234" s="40"/>
      <c r="H234" s="16"/>
      <c r="I234" s="16"/>
      <c r="J234" s="9"/>
      <c r="K234" s="9"/>
      <c r="L234" s="16"/>
    </row>
    <row r="235" spans="1:12">
      <c r="A235" s="1" t="s">
        <v>3705</v>
      </c>
      <c r="B235" s="7">
        <v>21.61</v>
      </c>
      <c r="C235" s="7">
        <v>20.8</v>
      </c>
      <c r="D235" s="16">
        <f t="shared" si="12"/>
        <v>-3.7482646922720901E-2</v>
      </c>
      <c r="E235" s="9">
        <v>20.36</v>
      </c>
      <c r="F235" s="16">
        <f t="shared" si="13"/>
        <v>2.1611001964636604E-2</v>
      </c>
      <c r="G235" s="40"/>
      <c r="H235" s="16"/>
      <c r="I235" s="16"/>
      <c r="J235" s="9"/>
      <c r="K235" s="9"/>
      <c r="L235" s="16"/>
    </row>
    <row r="236" spans="1:12">
      <c r="A236" s="1" t="s">
        <v>3706</v>
      </c>
      <c r="B236" s="7">
        <v>21.61</v>
      </c>
      <c r="C236" s="7">
        <v>20.8</v>
      </c>
      <c r="D236" s="16">
        <f t="shared" si="12"/>
        <v>-3.7482646922720901E-2</v>
      </c>
      <c r="E236" s="9">
        <v>20.36</v>
      </c>
      <c r="F236" s="16">
        <f t="shared" si="13"/>
        <v>2.1611001964636604E-2</v>
      </c>
      <c r="G236" s="40"/>
      <c r="H236" s="16"/>
      <c r="I236" s="16"/>
      <c r="J236" s="9"/>
      <c r="K236" s="9"/>
      <c r="L236" s="16"/>
    </row>
    <row r="237" spans="1:12">
      <c r="A237" s="1" t="s">
        <v>3707</v>
      </c>
      <c r="B237" s="7">
        <v>21.61</v>
      </c>
      <c r="C237" s="7">
        <v>20.8</v>
      </c>
      <c r="D237" s="16">
        <f t="shared" si="12"/>
        <v>-3.7482646922720901E-2</v>
      </c>
      <c r="E237" s="9">
        <v>20.36</v>
      </c>
      <c r="F237" s="16">
        <f t="shared" si="13"/>
        <v>2.1611001964636604E-2</v>
      </c>
      <c r="G237" s="40"/>
      <c r="H237" s="16"/>
      <c r="I237" s="16"/>
      <c r="J237" s="9"/>
      <c r="K237" s="9"/>
      <c r="L237" s="16"/>
    </row>
    <row r="238" spans="1:12">
      <c r="A238" s="1" t="s">
        <v>3708</v>
      </c>
      <c r="B238" s="7">
        <v>21.61</v>
      </c>
      <c r="C238" s="7">
        <v>20.8</v>
      </c>
      <c r="D238" s="16">
        <f t="shared" si="12"/>
        <v>-3.7482646922720901E-2</v>
      </c>
      <c r="E238" s="9">
        <v>20.36</v>
      </c>
      <c r="F238" s="16">
        <f t="shared" si="13"/>
        <v>2.1611001964636604E-2</v>
      </c>
      <c r="G238" s="40"/>
      <c r="H238" s="16"/>
      <c r="I238" s="16"/>
      <c r="J238" s="9"/>
      <c r="K238" s="9"/>
      <c r="L238" s="16"/>
    </row>
    <row r="239" spans="1:12">
      <c r="A239" s="1" t="s">
        <v>3709</v>
      </c>
      <c r="B239" s="7">
        <v>21.61</v>
      </c>
      <c r="C239" s="7">
        <v>20.8</v>
      </c>
      <c r="D239" s="16">
        <f t="shared" si="12"/>
        <v>-3.7482646922720901E-2</v>
      </c>
      <c r="E239" s="9">
        <v>20.36</v>
      </c>
      <c r="F239" s="16">
        <f t="shared" si="13"/>
        <v>2.1611001964636604E-2</v>
      </c>
      <c r="G239" s="40"/>
      <c r="H239" s="16"/>
      <c r="I239" s="16"/>
      <c r="J239" s="9"/>
      <c r="K239" s="9"/>
      <c r="L239" s="16"/>
    </row>
    <row r="240" spans="1:12">
      <c r="A240" s="1" t="s">
        <v>3710</v>
      </c>
      <c r="B240" s="7">
        <v>21.61</v>
      </c>
      <c r="C240" s="7">
        <v>20.8</v>
      </c>
      <c r="D240" s="16">
        <f t="shared" si="12"/>
        <v>-3.7482646922720901E-2</v>
      </c>
      <c r="E240" s="9">
        <v>20.36</v>
      </c>
      <c r="F240" s="16">
        <f t="shared" si="13"/>
        <v>2.1611001964636604E-2</v>
      </c>
      <c r="G240" s="40"/>
      <c r="H240" s="16"/>
      <c r="I240" s="16"/>
      <c r="J240" s="9"/>
      <c r="K240" s="9"/>
      <c r="L240" s="16"/>
    </row>
    <row r="241" spans="1:12">
      <c r="A241" s="1" t="s">
        <v>3711</v>
      </c>
      <c r="B241" s="7">
        <v>21.61</v>
      </c>
      <c r="C241" s="7">
        <v>20.8</v>
      </c>
      <c r="D241" s="16">
        <f t="shared" si="12"/>
        <v>-3.7482646922720901E-2</v>
      </c>
      <c r="E241" s="9">
        <v>20.36</v>
      </c>
      <c r="F241" s="16">
        <f t="shared" si="13"/>
        <v>2.1611001964636604E-2</v>
      </c>
      <c r="G241" s="40"/>
      <c r="H241" s="16"/>
      <c r="I241" s="16"/>
      <c r="J241" s="9"/>
      <c r="K241" s="9"/>
      <c r="L241" s="16"/>
    </row>
    <row r="242" spans="1:12">
      <c r="A242" s="6" t="s">
        <v>3712</v>
      </c>
      <c r="B242" s="7"/>
      <c r="C242" s="7"/>
      <c r="D242" s="16"/>
      <c r="E242" s="9"/>
      <c r="F242" s="16"/>
      <c r="G242" s="40"/>
      <c r="H242" s="16"/>
      <c r="I242" s="16"/>
      <c r="J242" s="9"/>
      <c r="K242" s="9"/>
      <c r="L242" s="16"/>
    </row>
    <row r="243" spans="1:12">
      <c r="A243" s="1" t="s">
        <v>3713</v>
      </c>
      <c r="B243" s="7">
        <v>21.61</v>
      </c>
      <c r="C243" s="7">
        <v>20.8</v>
      </c>
      <c r="D243" s="16">
        <f>(C243-B243)/B243</f>
        <v>-3.7482646922720901E-2</v>
      </c>
      <c r="E243" s="9">
        <v>20.36</v>
      </c>
      <c r="F243" s="16">
        <f>(C243-E243)/E243</f>
        <v>2.1611001964636604E-2</v>
      </c>
      <c r="G243" s="40"/>
      <c r="H243" s="16"/>
      <c r="I243" s="16"/>
      <c r="J243" s="9"/>
      <c r="K243" s="9"/>
      <c r="L243" s="16"/>
    </row>
    <row r="244" spans="1:12">
      <c r="A244" s="1" t="s">
        <v>3714</v>
      </c>
      <c r="B244" s="7">
        <v>21.61</v>
      </c>
      <c r="C244" s="7">
        <v>20.8</v>
      </c>
      <c r="D244" s="16">
        <f>(C244-B244)/B244</f>
        <v>-3.7482646922720901E-2</v>
      </c>
      <c r="E244" s="9">
        <v>20.36</v>
      </c>
      <c r="F244" s="16">
        <f>(C244-E244)/E244</f>
        <v>2.1611001964636604E-2</v>
      </c>
      <c r="G244" s="40"/>
      <c r="H244" s="16"/>
      <c r="I244" s="16"/>
      <c r="J244" s="9"/>
      <c r="K244" s="9"/>
      <c r="L244" s="16"/>
    </row>
    <row r="245" spans="1:12">
      <c r="A245" s="1" t="s">
        <v>3715</v>
      </c>
      <c r="B245" s="7">
        <v>21.61</v>
      </c>
      <c r="C245" s="7">
        <v>20.8</v>
      </c>
      <c r="D245" s="16">
        <f>(C245-B245)/B245</f>
        <v>-3.7482646922720901E-2</v>
      </c>
      <c r="E245" s="9">
        <v>20.36</v>
      </c>
      <c r="F245" s="16">
        <f>(C245-E245)/E245</f>
        <v>2.1611001964636604E-2</v>
      </c>
      <c r="G245" s="40"/>
      <c r="H245" s="16"/>
      <c r="I245" s="16"/>
      <c r="J245" s="9"/>
      <c r="K245" s="9"/>
      <c r="L245" s="16"/>
    </row>
    <row r="246" spans="1:12">
      <c r="A246" s="6" t="s">
        <v>3716</v>
      </c>
      <c r="B246" s="7"/>
      <c r="C246" s="7"/>
      <c r="D246" s="16"/>
      <c r="E246" s="9"/>
      <c r="F246" s="16"/>
      <c r="G246" s="40"/>
      <c r="H246" s="16"/>
      <c r="I246" s="16"/>
      <c r="J246" s="9"/>
      <c r="K246" s="9"/>
      <c r="L246" s="16"/>
    </row>
    <row r="247" spans="1:12" ht="25.5">
      <c r="A247" s="1" t="s">
        <v>3717</v>
      </c>
      <c r="B247" s="7"/>
      <c r="C247" s="7"/>
      <c r="D247" s="16"/>
      <c r="E247" s="9"/>
      <c r="F247" s="16"/>
      <c r="G247" s="40"/>
      <c r="H247" s="16"/>
      <c r="I247" s="16"/>
      <c r="J247" s="9"/>
      <c r="K247" s="9"/>
      <c r="L247" s="16"/>
    </row>
    <row r="248" spans="1:12" ht="25.5">
      <c r="A248" s="1" t="s">
        <v>3718</v>
      </c>
      <c r="B248" s="7"/>
      <c r="C248" s="7">
        <v>20.8</v>
      </c>
      <c r="D248" s="16">
        <v>1</v>
      </c>
      <c r="E248" s="9">
        <v>20.36</v>
      </c>
      <c r="F248" s="16">
        <f>(C248-E248)/E248</f>
        <v>2.1611001964636604E-2</v>
      </c>
      <c r="G248" s="40"/>
      <c r="H248" s="16"/>
      <c r="I248" s="16"/>
      <c r="J248" s="9"/>
      <c r="K248" s="9"/>
      <c r="L248" s="16"/>
    </row>
    <row r="249" spans="1:12">
      <c r="A249" s="1" t="s">
        <v>3719</v>
      </c>
      <c r="B249" s="7"/>
      <c r="C249" s="7"/>
      <c r="D249" s="16"/>
      <c r="E249" s="9"/>
      <c r="F249" s="16"/>
      <c r="G249" s="40"/>
      <c r="H249" s="16"/>
      <c r="I249" s="16"/>
      <c r="J249" s="9"/>
      <c r="K249" s="9"/>
      <c r="L249" s="16"/>
    </row>
    <row r="250" spans="1:12">
      <c r="A250" s="6" t="s">
        <v>3720</v>
      </c>
      <c r="B250" s="7"/>
      <c r="C250" s="7"/>
      <c r="D250" s="16"/>
      <c r="E250" s="9"/>
      <c r="F250" s="16"/>
      <c r="G250" s="40"/>
      <c r="H250" s="16"/>
      <c r="I250" s="16"/>
      <c r="J250" s="9"/>
      <c r="K250" s="9"/>
      <c r="L250" s="16"/>
    </row>
    <row r="251" spans="1:12">
      <c r="A251" s="1" t="s">
        <v>3721</v>
      </c>
      <c r="B251" s="7">
        <v>21.61</v>
      </c>
      <c r="C251" s="7">
        <v>20.8</v>
      </c>
      <c r="D251" s="16">
        <f t="shared" ref="D251:D258" si="14">(C251-B251)/B251</f>
        <v>-3.7482646922720901E-2</v>
      </c>
      <c r="E251" s="9">
        <v>20.36</v>
      </c>
      <c r="F251" s="16">
        <f t="shared" ref="F251:F263" si="15">(C251-E251)/E251</f>
        <v>2.1611001964636604E-2</v>
      </c>
      <c r="G251" s="40"/>
      <c r="H251" s="16"/>
      <c r="I251" s="16"/>
      <c r="J251" s="9"/>
      <c r="K251" s="9"/>
      <c r="L251" s="16"/>
    </row>
    <row r="252" spans="1:12">
      <c r="A252" s="1" t="s">
        <v>3722</v>
      </c>
      <c r="B252" s="7">
        <v>21.61</v>
      </c>
      <c r="C252" s="7">
        <v>20.8</v>
      </c>
      <c r="D252" s="16">
        <f t="shared" si="14"/>
        <v>-3.7482646922720901E-2</v>
      </c>
      <c r="E252" s="9">
        <v>20.36</v>
      </c>
      <c r="F252" s="16">
        <f t="shared" si="15"/>
        <v>2.1611001964636604E-2</v>
      </c>
      <c r="G252" s="40"/>
      <c r="H252" s="16"/>
      <c r="I252" s="16"/>
      <c r="J252" s="9"/>
      <c r="K252" s="9"/>
      <c r="L252" s="16"/>
    </row>
    <row r="253" spans="1:12" ht="102">
      <c r="A253" s="1" t="s">
        <v>3723</v>
      </c>
      <c r="B253" s="7">
        <v>21.61</v>
      </c>
      <c r="C253" s="7">
        <v>20.8</v>
      </c>
      <c r="D253" s="16">
        <f t="shared" si="14"/>
        <v>-3.7482646922720901E-2</v>
      </c>
      <c r="E253" s="9">
        <v>20.36</v>
      </c>
      <c r="F253" s="16">
        <f t="shared" si="15"/>
        <v>2.1611001964636604E-2</v>
      </c>
      <c r="G253" s="40"/>
      <c r="H253" s="16"/>
      <c r="I253" s="16"/>
      <c r="J253" s="9"/>
      <c r="K253" s="9"/>
      <c r="L253" s="16"/>
    </row>
    <row r="254" spans="1:12">
      <c r="A254" s="1" t="s">
        <v>3724</v>
      </c>
      <c r="B254" s="7">
        <v>21.61</v>
      </c>
      <c r="C254" s="7">
        <v>20.8</v>
      </c>
      <c r="D254" s="16">
        <f t="shared" si="14"/>
        <v>-3.7482646922720901E-2</v>
      </c>
      <c r="E254" s="9">
        <v>20.36</v>
      </c>
      <c r="F254" s="16">
        <f t="shared" si="15"/>
        <v>2.1611001964636604E-2</v>
      </c>
      <c r="G254" s="40"/>
      <c r="H254" s="16"/>
      <c r="I254" s="16"/>
      <c r="J254" s="9"/>
      <c r="K254" s="9"/>
      <c r="L254" s="16"/>
    </row>
    <row r="255" spans="1:12" ht="25.5">
      <c r="A255" s="1" t="s">
        <v>3725</v>
      </c>
      <c r="B255" s="7">
        <v>21.61</v>
      </c>
      <c r="C255" s="7">
        <v>20.8</v>
      </c>
      <c r="D255" s="16">
        <f t="shared" si="14"/>
        <v>-3.7482646922720901E-2</v>
      </c>
      <c r="E255" s="9">
        <v>20.36</v>
      </c>
      <c r="F255" s="16">
        <f t="shared" si="15"/>
        <v>2.1611001964636604E-2</v>
      </c>
      <c r="G255" s="40"/>
      <c r="H255" s="16"/>
      <c r="I255" s="16"/>
      <c r="J255" s="9"/>
      <c r="K255" s="9"/>
      <c r="L255" s="16"/>
    </row>
    <row r="256" spans="1:12">
      <c r="A256" s="1" t="s">
        <v>3726</v>
      </c>
      <c r="B256" s="7">
        <v>21.61</v>
      </c>
      <c r="C256" s="7">
        <v>20.8</v>
      </c>
      <c r="D256" s="16">
        <f t="shared" si="14"/>
        <v>-3.7482646922720901E-2</v>
      </c>
      <c r="E256" s="9">
        <v>20.36</v>
      </c>
      <c r="F256" s="16">
        <f t="shared" si="15"/>
        <v>2.1611001964636604E-2</v>
      </c>
      <c r="G256" s="40"/>
      <c r="H256" s="16"/>
      <c r="I256" s="16"/>
      <c r="J256" s="9"/>
      <c r="K256" s="9"/>
      <c r="L256" s="16"/>
    </row>
    <row r="257" spans="1:12">
      <c r="A257" s="1" t="s">
        <v>3727</v>
      </c>
      <c r="B257" s="7">
        <v>21.61</v>
      </c>
      <c r="C257" s="7">
        <v>20.8</v>
      </c>
      <c r="D257" s="16">
        <f t="shared" si="14"/>
        <v>-3.7482646922720901E-2</v>
      </c>
      <c r="E257" s="9">
        <v>20.36</v>
      </c>
      <c r="F257" s="16">
        <f t="shared" si="15"/>
        <v>2.1611001964636604E-2</v>
      </c>
      <c r="G257" s="40"/>
      <c r="H257" s="16"/>
      <c r="I257" s="16"/>
      <c r="J257" s="9"/>
      <c r="K257" s="9"/>
      <c r="L257" s="16"/>
    </row>
    <row r="258" spans="1:12">
      <c r="A258" s="1" t="s">
        <v>3728</v>
      </c>
      <c r="B258" s="7">
        <v>21.61</v>
      </c>
      <c r="C258" s="7">
        <v>20.8</v>
      </c>
      <c r="D258" s="16">
        <f t="shared" si="14"/>
        <v>-3.7482646922720901E-2</v>
      </c>
      <c r="E258" s="9">
        <v>20.36</v>
      </c>
      <c r="F258" s="16">
        <f t="shared" si="15"/>
        <v>2.1611001964636604E-2</v>
      </c>
      <c r="G258" s="40"/>
      <c r="H258" s="16"/>
      <c r="I258" s="16"/>
      <c r="J258" s="9"/>
      <c r="K258" s="9"/>
      <c r="L258" s="16"/>
    </row>
    <row r="259" spans="1:12">
      <c r="A259" s="6" t="s">
        <v>3729</v>
      </c>
      <c r="B259" s="7"/>
      <c r="C259" s="7"/>
      <c r="D259" s="16"/>
      <c r="E259" s="9"/>
      <c r="F259" s="16"/>
      <c r="G259" s="40"/>
      <c r="H259" s="16"/>
      <c r="I259" s="16"/>
      <c r="J259" s="9"/>
      <c r="K259" s="9"/>
      <c r="L259" s="16"/>
    </row>
    <row r="260" spans="1:12">
      <c r="A260" s="1" t="s">
        <v>3730</v>
      </c>
      <c r="B260" s="7">
        <v>21.61</v>
      </c>
      <c r="C260" s="7">
        <v>20.8</v>
      </c>
      <c r="D260" s="16">
        <f>(C260-B260)/B260</f>
        <v>-3.7482646922720901E-2</v>
      </c>
      <c r="E260" s="9">
        <v>20.36</v>
      </c>
      <c r="F260" s="16">
        <f t="shared" si="15"/>
        <v>2.1611001964636604E-2</v>
      </c>
      <c r="G260" s="40"/>
      <c r="H260" s="16"/>
      <c r="I260" s="16"/>
      <c r="J260" s="9"/>
      <c r="K260" s="9"/>
      <c r="L260" s="16"/>
    </row>
    <row r="261" spans="1:12">
      <c r="A261" s="1" t="s">
        <v>3731</v>
      </c>
      <c r="B261" s="7">
        <v>21.61</v>
      </c>
      <c r="C261" s="7">
        <v>20.8</v>
      </c>
      <c r="D261" s="16">
        <f>(C261-B261)/B261</f>
        <v>-3.7482646922720901E-2</v>
      </c>
      <c r="E261" s="9">
        <v>20.36</v>
      </c>
      <c r="F261" s="16">
        <f t="shared" si="15"/>
        <v>2.1611001964636604E-2</v>
      </c>
      <c r="G261" s="40"/>
      <c r="H261" s="16"/>
      <c r="I261" s="16"/>
      <c r="J261" s="9"/>
      <c r="K261" s="9"/>
      <c r="L261" s="16"/>
    </row>
    <row r="262" spans="1:12" ht="25.5">
      <c r="A262" s="1" t="s">
        <v>3732</v>
      </c>
      <c r="B262" s="7">
        <v>21.61</v>
      </c>
      <c r="C262" s="7">
        <v>20.8</v>
      </c>
      <c r="D262" s="16">
        <f>(C262-B262)/B262</f>
        <v>-3.7482646922720901E-2</v>
      </c>
      <c r="E262" s="9">
        <v>20.36</v>
      </c>
      <c r="F262" s="16">
        <f t="shared" si="15"/>
        <v>2.1611001964636604E-2</v>
      </c>
      <c r="G262" s="40"/>
      <c r="H262" s="16"/>
      <c r="I262" s="16"/>
      <c r="J262" s="9"/>
      <c r="K262" s="9"/>
      <c r="L262" s="16"/>
    </row>
    <row r="263" spans="1:12">
      <c r="A263" s="1" t="s">
        <v>3733</v>
      </c>
      <c r="B263" s="7">
        <v>21.61</v>
      </c>
      <c r="C263" s="7">
        <v>20.8</v>
      </c>
      <c r="D263" s="16">
        <f>(C263-B263)/B263</f>
        <v>-3.7482646922720901E-2</v>
      </c>
      <c r="E263" s="9">
        <v>20.36</v>
      </c>
      <c r="F263" s="16">
        <f t="shared" si="15"/>
        <v>2.1611001964636604E-2</v>
      </c>
      <c r="G263" s="40"/>
      <c r="H263" s="16"/>
      <c r="I263" s="16"/>
      <c r="J263" s="9"/>
      <c r="K263" s="9"/>
      <c r="L263" s="16"/>
    </row>
    <row r="264" spans="1:12">
      <c r="A264" s="6" t="s">
        <v>3734</v>
      </c>
      <c r="B264" s="7"/>
      <c r="C264" s="7"/>
      <c r="D264" s="16"/>
      <c r="E264" s="9"/>
      <c r="F264" s="16"/>
      <c r="G264" s="40"/>
      <c r="H264" s="16"/>
      <c r="I264" s="16"/>
      <c r="J264" s="9"/>
      <c r="K264" s="9"/>
      <c r="L264" s="16"/>
    </row>
    <row r="265" spans="1:12">
      <c r="A265" s="1" t="s">
        <v>3735</v>
      </c>
      <c r="B265" s="7">
        <v>21.61</v>
      </c>
      <c r="C265" s="7">
        <v>20.8</v>
      </c>
      <c r="D265" s="16">
        <f t="shared" ref="D265:D278" si="16">(C265-B265)/B265</f>
        <v>-3.7482646922720901E-2</v>
      </c>
      <c r="E265" s="9">
        <v>20.36</v>
      </c>
      <c r="F265" s="16">
        <f t="shared" ref="F265:F278" si="17">(C265-E265)/E265</f>
        <v>2.1611001964636604E-2</v>
      </c>
      <c r="G265" s="40"/>
      <c r="H265" s="16"/>
      <c r="I265" s="16"/>
      <c r="J265" s="9"/>
      <c r="K265" s="9"/>
      <c r="L265" s="16"/>
    </row>
    <row r="266" spans="1:12">
      <c r="A266" s="1" t="s">
        <v>3736</v>
      </c>
      <c r="B266" s="7">
        <v>21.61</v>
      </c>
      <c r="C266" s="7">
        <v>20.8</v>
      </c>
      <c r="D266" s="16">
        <f t="shared" si="16"/>
        <v>-3.7482646922720901E-2</v>
      </c>
      <c r="E266" s="9">
        <v>20.36</v>
      </c>
      <c r="F266" s="16">
        <f t="shared" si="17"/>
        <v>2.1611001964636604E-2</v>
      </c>
      <c r="G266" s="40"/>
      <c r="H266" s="16"/>
      <c r="I266" s="16"/>
      <c r="J266" s="9"/>
      <c r="K266" s="9"/>
      <c r="L266" s="16"/>
    </row>
    <row r="267" spans="1:12">
      <c r="A267" s="1" t="s">
        <v>3737</v>
      </c>
      <c r="B267" s="7">
        <v>21.61</v>
      </c>
      <c r="C267" s="7">
        <v>20.8</v>
      </c>
      <c r="D267" s="16">
        <f t="shared" si="16"/>
        <v>-3.7482646922720901E-2</v>
      </c>
      <c r="E267" s="9">
        <v>20.36</v>
      </c>
      <c r="F267" s="16">
        <f t="shared" si="17"/>
        <v>2.1611001964636604E-2</v>
      </c>
      <c r="G267" s="40"/>
      <c r="H267" s="16"/>
      <c r="I267" s="16"/>
      <c r="J267" s="9"/>
      <c r="K267" s="9"/>
      <c r="L267" s="16"/>
    </row>
    <row r="268" spans="1:12">
      <c r="A268" s="1" t="s">
        <v>3738</v>
      </c>
      <c r="B268" s="7">
        <v>21.61</v>
      </c>
      <c r="C268" s="7">
        <v>20.8</v>
      </c>
      <c r="D268" s="16">
        <f t="shared" si="16"/>
        <v>-3.7482646922720901E-2</v>
      </c>
      <c r="E268" s="9">
        <v>20.36</v>
      </c>
      <c r="F268" s="16">
        <f t="shared" si="17"/>
        <v>2.1611001964636604E-2</v>
      </c>
      <c r="G268" s="40"/>
      <c r="H268" s="16"/>
      <c r="I268" s="16"/>
      <c r="J268" s="9"/>
      <c r="K268" s="9"/>
      <c r="L268" s="16"/>
    </row>
    <row r="269" spans="1:12">
      <c r="A269" s="1" t="s">
        <v>3739</v>
      </c>
      <c r="B269" s="7">
        <v>21.61</v>
      </c>
      <c r="C269" s="7">
        <v>20.8</v>
      </c>
      <c r="D269" s="16">
        <f t="shared" si="16"/>
        <v>-3.7482646922720901E-2</v>
      </c>
      <c r="E269" s="9">
        <v>20.36</v>
      </c>
      <c r="F269" s="16">
        <f t="shared" si="17"/>
        <v>2.1611001964636604E-2</v>
      </c>
      <c r="G269" s="40"/>
      <c r="H269" s="16"/>
      <c r="I269" s="16"/>
      <c r="J269" s="9"/>
      <c r="K269" s="9"/>
      <c r="L269" s="16"/>
    </row>
    <row r="270" spans="1:12">
      <c r="A270" s="1" t="s">
        <v>3740</v>
      </c>
      <c r="B270" s="7">
        <v>21.61</v>
      </c>
      <c r="C270" s="7">
        <v>20.8</v>
      </c>
      <c r="D270" s="16">
        <f t="shared" si="16"/>
        <v>-3.7482646922720901E-2</v>
      </c>
      <c r="E270" s="9">
        <v>20.36</v>
      </c>
      <c r="F270" s="16">
        <f t="shared" si="17"/>
        <v>2.1611001964636604E-2</v>
      </c>
      <c r="G270" s="40"/>
      <c r="H270" s="16"/>
      <c r="I270" s="16"/>
      <c r="J270" s="9"/>
      <c r="K270" s="9"/>
      <c r="L270" s="16"/>
    </row>
    <row r="271" spans="1:12">
      <c r="A271" s="1" t="s">
        <v>3741</v>
      </c>
      <c r="B271" s="7">
        <v>21.61</v>
      </c>
      <c r="C271" s="7">
        <v>20.8</v>
      </c>
      <c r="D271" s="16">
        <f t="shared" si="16"/>
        <v>-3.7482646922720901E-2</v>
      </c>
      <c r="E271" s="9">
        <v>20.36</v>
      </c>
      <c r="F271" s="16">
        <f t="shared" si="17"/>
        <v>2.1611001964636604E-2</v>
      </c>
      <c r="G271" s="40"/>
      <c r="H271" s="16"/>
      <c r="I271" s="16"/>
      <c r="J271" s="9"/>
      <c r="K271" s="9"/>
      <c r="L271" s="16"/>
    </row>
    <row r="272" spans="1:12" ht="25.5">
      <c r="A272" s="1" t="s">
        <v>3742</v>
      </c>
      <c r="B272" s="7">
        <v>21.61</v>
      </c>
      <c r="C272" s="7">
        <v>20.8</v>
      </c>
      <c r="D272" s="16">
        <f t="shared" si="16"/>
        <v>-3.7482646922720901E-2</v>
      </c>
      <c r="E272" s="9">
        <v>20.36</v>
      </c>
      <c r="F272" s="16">
        <f t="shared" si="17"/>
        <v>2.1611001964636604E-2</v>
      </c>
      <c r="G272" s="40"/>
      <c r="H272" s="16"/>
      <c r="I272" s="16"/>
      <c r="J272" s="9"/>
      <c r="K272" s="9"/>
      <c r="L272" s="16"/>
    </row>
    <row r="273" spans="1:12">
      <c r="A273" s="1" t="s">
        <v>3743</v>
      </c>
      <c r="B273" s="7">
        <v>21.61</v>
      </c>
      <c r="C273" s="7">
        <v>20.8</v>
      </c>
      <c r="D273" s="16">
        <f t="shared" si="16"/>
        <v>-3.7482646922720901E-2</v>
      </c>
      <c r="E273" s="9">
        <v>20.36</v>
      </c>
      <c r="F273" s="16">
        <f t="shared" si="17"/>
        <v>2.1611001964636604E-2</v>
      </c>
      <c r="G273" s="40"/>
      <c r="H273" s="16"/>
      <c r="I273" s="16"/>
      <c r="J273" s="9"/>
      <c r="K273" s="9"/>
      <c r="L273" s="16"/>
    </row>
    <row r="274" spans="1:12">
      <c r="A274" s="1" t="s">
        <v>3744</v>
      </c>
      <c r="B274" s="7">
        <v>21.61</v>
      </c>
      <c r="C274" s="7">
        <v>20.8</v>
      </c>
      <c r="D274" s="16">
        <f t="shared" si="16"/>
        <v>-3.7482646922720901E-2</v>
      </c>
      <c r="E274" s="9">
        <v>20.36</v>
      </c>
      <c r="F274" s="16">
        <f t="shared" si="17"/>
        <v>2.1611001964636604E-2</v>
      </c>
      <c r="G274" s="40"/>
      <c r="H274" s="16"/>
      <c r="I274" s="16"/>
      <c r="J274" s="9"/>
      <c r="K274" s="9"/>
      <c r="L274" s="16"/>
    </row>
    <row r="275" spans="1:12">
      <c r="A275" s="1" t="s">
        <v>3745</v>
      </c>
      <c r="B275" s="7">
        <v>21.61</v>
      </c>
      <c r="C275" s="7">
        <v>20.8</v>
      </c>
      <c r="D275" s="16">
        <f t="shared" si="16"/>
        <v>-3.7482646922720901E-2</v>
      </c>
      <c r="E275" s="9">
        <v>20.36</v>
      </c>
      <c r="F275" s="16">
        <f t="shared" si="17"/>
        <v>2.1611001964636604E-2</v>
      </c>
      <c r="G275" s="40"/>
      <c r="H275" s="16"/>
      <c r="I275" s="16"/>
      <c r="J275" s="9"/>
      <c r="K275" s="9"/>
      <c r="L275" s="16"/>
    </row>
    <row r="276" spans="1:12">
      <c r="A276" s="1" t="s">
        <v>3746</v>
      </c>
      <c r="B276" s="7">
        <v>21.61</v>
      </c>
      <c r="C276" s="7">
        <v>20.8</v>
      </c>
      <c r="D276" s="16">
        <f t="shared" si="16"/>
        <v>-3.7482646922720901E-2</v>
      </c>
      <c r="E276" s="9">
        <v>20.36</v>
      </c>
      <c r="F276" s="16">
        <f t="shared" si="17"/>
        <v>2.1611001964636604E-2</v>
      </c>
      <c r="G276" s="40"/>
      <c r="H276" s="16"/>
      <c r="I276" s="16"/>
      <c r="J276" s="9"/>
      <c r="K276" s="9"/>
      <c r="L276" s="16"/>
    </row>
    <row r="277" spans="1:12">
      <c r="A277" s="1" t="s">
        <v>3747</v>
      </c>
      <c r="B277" s="7">
        <v>21.61</v>
      </c>
      <c r="C277" s="7">
        <v>20.8</v>
      </c>
      <c r="D277" s="16">
        <f t="shared" si="16"/>
        <v>-3.7482646922720901E-2</v>
      </c>
      <c r="E277" s="9">
        <v>20.36</v>
      </c>
      <c r="F277" s="16">
        <f t="shared" si="17"/>
        <v>2.1611001964636604E-2</v>
      </c>
      <c r="G277" s="40"/>
      <c r="H277" s="16"/>
      <c r="I277" s="16"/>
      <c r="J277" s="9"/>
      <c r="K277" s="9"/>
      <c r="L277" s="16"/>
    </row>
    <row r="278" spans="1:12">
      <c r="A278" s="2" t="s">
        <v>3748</v>
      </c>
      <c r="B278" s="10">
        <v>21.61</v>
      </c>
      <c r="C278" s="10">
        <v>20.8</v>
      </c>
      <c r="D278" s="16">
        <f t="shared" si="16"/>
        <v>-3.7482646922720901E-2</v>
      </c>
      <c r="E278" s="9">
        <v>20.36</v>
      </c>
      <c r="F278" s="16">
        <f t="shared" si="17"/>
        <v>2.1611001964636604E-2</v>
      </c>
      <c r="G278" s="40"/>
      <c r="H278" s="16"/>
      <c r="I278" s="16"/>
      <c r="J278" s="9"/>
      <c r="K278" s="9"/>
      <c r="L278" s="16"/>
    </row>
    <row r="279" spans="1:12">
      <c r="A279" s="1"/>
      <c r="B279" s="7"/>
      <c r="C279" s="7"/>
      <c r="D279" s="16"/>
      <c r="E279" s="9"/>
      <c r="F279" s="16"/>
      <c r="G279" s="40"/>
      <c r="H279" s="16"/>
      <c r="I279" s="16"/>
      <c r="J279" s="9"/>
      <c r="K279" s="9"/>
      <c r="L279" s="16"/>
    </row>
    <row r="280" spans="1:12">
      <c r="A280" s="1"/>
      <c r="B280" s="7"/>
      <c r="C280" s="7"/>
      <c r="D280" s="16"/>
      <c r="E280" s="9"/>
      <c r="F280" s="16"/>
      <c r="G280" s="40"/>
      <c r="H280" s="16"/>
      <c r="I280" s="16"/>
      <c r="J280" s="9"/>
      <c r="K280" s="9"/>
      <c r="L280" s="16"/>
    </row>
    <row r="281" spans="1:12">
      <c r="A281" s="2" t="s">
        <v>3666</v>
      </c>
      <c r="B281" s="7"/>
      <c r="C281" s="31" t="s">
        <v>3481</v>
      </c>
      <c r="D281" s="43"/>
      <c r="E281" s="44"/>
      <c r="F281" s="43"/>
      <c r="G281" s="23" t="s">
        <v>3984</v>
      </c>
      <c r="H281" s="43"/>
      <c r="I281" s="43">
        <f>AVERAGE(F282)</f>
        <v>0</v>
      </c>
      <c r="J281" s="44"/>
      <c r="K281" s="44"/>
      <c r="L281" s="43"/>
    </row>
    <row r="282" spans="1:12">
      <c r="A282" s="1" t="s">
        <v>3667</v>
      </c>
      <c r="B282" s="7">
        <v>21.32</v>
      </c>
      <c r="C282" s="7">
        <v>54.49</v>
      </c>
      <c r="D282" s="16">
        <f>(C282-B282)/B282</f>
        <v>1.5558161350844277</v>
      </c>
      <c r="E282" s="9">
        <v>54.49</v>
      </c>
      <c r="F282" s="16">
        <f>(C282-E282)/E282</f>
        <v>0</v>
      </c>
      <c r="G282" s="40"/>
      <c r="H282" s="16"/>
      <c r="I282" s="16"/>
      <c r="J282" s="9"/>
      <c r="K282" s="9"/>
      <c r="L282" s="16"/>
    </row>
    <row r="283" spans="1:12">
      <c r="A283" s="1"/>
      <c r="B283" s="7"/>
      <c r="C283" s="7"/>
      <c r="D283" s="16"/>
      <c r="E283" s="9"/>
      <c r="F283" s="16"/>
      <c r="G283" s="40"/>
      <c r="H283" s="16"/>
      <c r="I283" s="16"/>
      <c r="J283" s="9"/>
      <c r="K283" s="9"/>
      <c r="L283" s="16"/>
    </row>
    <row r="284" spans="1:12" ht="63.75">
      <c r="A284" s="2" t="s">
        <v>3668</v>
      </c>
      <c r="B284" s="12" t="s">
        <v>3649</v>
      </c>
      <c r="C284" s="12" t="s">
        <v>3649</v>
      </c>
      <c r="D284" s="43"/>
      <c r="E284" s="44"/>
      <c r="F284" s="43"/>
      <c r="G284" s="23" t="s">
        <v>3983</v>
      </c>
      <c r="H284" s="43">
        <f>AVERAGE(F285)</f>
        <v>2.1562766865926515E-2</v>
      </c>
      <c r="I284" s="43"/>
      <c r="J284" s="44"/>
      <c r="K284" s="44"/>
      <c r="L284" s="43"/>
    </row>
    <row r="285" spans="1:12" ht="25.5">
      <c r="A285" s="1" t="s">
        <v>3670</v>
      </c>
      <c r="B285" s="7">
        <v>46.1</v>
      </c>
      <c r="C285" s="7">
        <v>47.85</v>
      </c>
      <c r="D285" s="16">
        <f>(C285-B285)/B285</f>
        <v>3.7960954446854663E-2</v>
      </c>
      <c r="E285" s="9">
        <v>46.84</v>
      </c>
      <c r="F285" s="16">
        <f>(C285-E285)/E285</f>
        <v>2.1562766865926515E-2</v>
      </c>
      <c r="G285" s="40"/>
      <c r="H285" s="16"/>
      <c r="I285" s="16"/>
      <c r="J285" s="9"/>
      <c r="K285" s="9"/>
      <c r="L285" s="16"/>
    </row>
    <row r="286" spans="1:12">
      <c r="A286" s="1"/>
      <c r="B286" s="7"/>
      <c r="C286" s="7"/>
      <c r="D286" s="16"/>
      <c r="E286" s="9"/>
      <c r="F286" s="16"/>
      <c r="G286" s="40"/>
      <c r="H286" s="16"/>
      <c r="I286" s="16"/>
      <c r="J286" s="9"/>
      <c r="K286" s="9"/>
      <c r="L286" s="16"/>
    </row>
    <row r="287" spans="1:12">
      <c r="A287" s="2" t="s">
        <v>3671</v>
      </c>
      <c r="B287" s="7"/>
      <c r="C287" s="31" t="s">
        <v>3487</v>
      </c>
      <c r="D287" s="43"/>
      <c r="E287" s="44"/>
      <c r="F287" s="43"/>
      <c r="G287" s="23" t="s">
        <v>3983</v>
      </c>
      <c r="H287" s="43">
        <f>AVERAGE(F288:F291)</f>
        <v>-2.9934847684451788E-3</v>
      </c>
      <c r="I287" s="43"/>
      <c r="J287" s="44"/>
      <c r="K287" s="44"/>
      <c r="L287" s="43"/>
    </row>
    <row r="288" spans="1:12">
      <c r="A288" s="1" t="s">
        <v>3672</v>
      </c>
      <c r="B288" s="7">
        <v>44.64</v>
      </c>
      <c r="C288" s="7">
        <v>56.62</v>
      </c>
      <c r="D288" s="16">
        <f>(C288-B288)/B288</f>
        <v>0.26836917562724005</v>
      </c>
      <c r="E288" s="9">
        <v>56.79</v>
      </c>
      <c r="F288" s="16">
        <f>(C288-E288)/E288</f>
        <v>-2.9934847684451788E-3</v>
      </c>
      <c r="G288" s="40"/>
      <c r="H288" s="16"/>
      <c r="I288" s="16"/>
      <c r="J288" s="9"/>
      <c r="K288" s="9"/>
      <c r="L288" s="16"/>
    </row>
    <row r="289" spans="1:12">
      <c r="A289" s="1"/>
      <c r="B289" s="7"/>
      <c r="C289" s="7"/>
      <c r="D289" s="16"/>
      <c r="E289" s="9"/>
      <c r="F289" s="16"/>
      <c r="G289" s="40"/>
      <c r="H289" s="16"/>
      <c r="I289" s="16"/>
      <c r="J289" s="9"/>
      <c r="K289" s="9"/>
      <c r="L289" s="16"/>
    </row>
    <row r="290" spans="1:12">
      <c r="A290" s="2" t="s">
        <v>3673</v>
      </c>
      <c r="B290" s="7"/>
      <c r="C290" s="31" t="s">
        <v>3487</v>
      </c>
      <c r="D290" s="16"/>
      <c r="E290" s="9"/>
      <c r="F290" s="16"/>
      <c r="G290" s="40"/>
      <c r="H290" s="16"/>
      <c r="I290" s="16"/>
      <c r="J290" s="9"/>
      <c r="K290" s="9"/>
      <c r="L290" s="16"/>
    </row>
    <row r="291" spans="1:12">
      <c r="A291" s="1" t="s">
        <v>3674</v>
      </c>
      <c r="B291" s="7">
        <v>44.64</v>
      </c>
      <c r="C291" s="7">
        <v>56.62</v>
      </c>
      <c r="D291" s="16">
        <f>(C291-B291)/B291</f>
        <v>0.26836917562724005</v>
      </c>
      <c r="E291" s="9">
        <v>56.79</v>
      </c>
      <c r="F291" s="16">
        <f>(C291-E291)/E291</f>
        <v>-2.9934847684451788E-3</v>
      </c>
      <c r="G291" s="40"/>
      <c r="H291" s="16"/>
      <c r="I291" s="16"/>
      <c r="J291" s="9"/>
      <c r="K291" s="9"/>
      <c r="L291" s="16"/>
    </row>
    <row r="294" spans="1:12">
      <c r="A294" s="8" t="s">
        <v>3988</v>
      </c>
      <c r="B294" s="7"/>
      <c r="D294" s="16"/>
      <c r="E294" s="40"/>
      <c r="G294" s="40"/>
    </row>
    <row r="295" spans="1:12">
      <c r="A295" s="1" t="s">
        <v>3986</v>
      </c>
      <c r="B295" s="7"/>
      <c r="D295" s="16"/>
      <c r="G295" s="40">
        <f>COUNTIF(G4:G291,"Y")</f>
        <v>28</v>
      </c>
    </row>
    <row r="296" spans="1:12">
      <c r="A296" s="1" t="s">
        <v>3987</v>
      </c>
      <c r="B296" s="7"/>
      <c r="D296" s="16"/>
      <c r="G296" s="41">
        <f>COUNTIF(G4:G292,"N")</f>
        <v>10</v>
      </c>
    </row>
    <row r="297" spans="1:12">
      <c r="A297" s="8" t="s">
        <v>3985</v>
      </c>
      <c r="B297"/>
      <c r="D297" s="16"/>
      <c r="G297" s="23">
        <f>SUM(G295:G296)</f>
        <v>38</v>
      </c>
    </row>
  </sheetData>
  <mergeCells count="26">
    <mergeCell ref="A105:B105"/>
    <mergeCell ref="A230:B230"/>
    <mergeCell ref="A178:B178"/>
    <mergeCell ref="A181:B181"/>
    <mergeCell ref="B194:B195"/>
    <mergeCell ref="A228:B228"/>
    <mergeCell ref="B147:B148"/>
    <mergeCell ref="A167:B167"/>
    <mergeCell ref="A176:B176"/>
    <mergeCell ref="A177:B177"/>
    <mergeCell ref="A27:B27"/>
    <mergeCell ref="A28:B28"/>
    <mergeCell ref="A69:B69"/>
    <mergeCell ref="A73:B73"/>
    <mergeCell ref="C194:C195"/>
    <mergeCell ref="C84:C85"/>
    <mergeCell ref="C109:C110"/>
    <mergeCell ref="C130:C131"/>
    <mergeCell ref="C147:C148"/>
    <mergeCell ref="A108:B108"/>
    <mergeCell ref="B109:B110"/>
    <mergeCell ref="A129:B129"/>
    <mergeCell ref="B130:B131"/>
    <mergeCell ref="A83:B83"/>
    <mergeCell ref="B84:B85"/>
    <mergeCell ref="A100:B100"/>
  </mergeCells>
  <phoneticPr fontId="2" type="noConversion"/>
  <hyperlinks>
    <hyperlink ref="A1" r:id="rId1" display="http://www.laborcommissioner.com/10rates/storey.html"/>
    <hyperlink ref="B4" location="SHEET" display="SHEET"/>
    <hyperlink ref="B15" location="BRICK ZONE 07" display="BRICK ZONE 07"/>
    <hyperlink ref="B20" location="Carp" display="Carp"/>
    <hyperlink ref="B57" location="laborer zone" display="laborer zone"/>
    <hyperlink ref="B67" location="laborer zone" display="laborer zone"/>
    <hyperlink ref="B70" location="Hod Brick Zone" display="Hod Brick Zone"/>
    <hyperlink ref="B74" location="Hod Plaster Zone" display="Hod Plaster Zone"/>
    <hyperlink ref="B79" r:id="rId2" display="http://www.laborcommissioner.com/10rates/2010 Amendments/2010Amendment1.htm"/>
    <hyperlink ref="A85" location="LABORER GROUP" display="LABORER GROUP"/>
    <hyperlink ref="B84" location="LABORER ZONE" display="LABORER ZONE"/>
    <hyperlink ref="B101" r:id="rId3" display="http://www.laborcommissioner.com/10rates/2010 Amendments/2010Amendment2.htm"/>
    <hyperlink ref="A110" location="OP GROUPS" display="OP GROUPS"/>
    <hyperlink ref="B109" location="OP ZONE" display="OP ZONE"/>
    <hyperlink ref="A131" location="OP GROUP  STEEL" display="OP GROUP  STEEL"/>
    <hyperlink ref="B130" location="OP ZONE" display="OP ZONE"/>
    <hyperlink ref="A148" location="OP GROUP PILEDRIVER" display="OP GROUP PILEDRIVER"/>
    <hyperlink ref="B147" location="OP ZONE" display="OP ZONE"/>
    <hyperlink ref="B182" location="plas zone" display="plas zone"/>
    <hyperlink ref="B198" location="SHEET ZONE" display="SHEET ZONE"/>
    <hyperlink ref="B208" location="OP ZONE" display="OP ZONE"/>
    <hyperlink ref="B226" location="laborer zone" display="laborer zone"/>
    <hyperlink ref="B284" location="OP ZONE" display="OP ZONE"/>
    <hyperlink ref="C20" location="Carp" display="Carp"/>
    <hyperlink ref="C57" location="laborer zone" display="laborer zone"/>
    <hyperlink ref="C70" location="Hod Brick Zone" display="Hod Brick Zone"/>
    <hyperlink ref="C84" location="LABORER ZONE" display="LABORER ZONE"/>
    <hyperlink ref="C109" location="OP ZONE" display="OP ZONE"/>
    <hyperlink ref="C130" location="OP ZONE" display="OP ZONE"/>
    <hyperlink ref="C147" location="OP ZONE" display="OP ZONE"/>
    <hyperlink ref="C198" location="SHEET ZONE" display="SHEET ZONE"/>
    <hyperlink ref="B214" location="TILE 09" display="TILE 09"/>
    <hyperlink ref="B217" location="TILE 09" display="TILE 09"/>
    <hyperlink ref="C226" location="laborer zone" display="laborer zone"/>
    <hyperlink ref="C284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7"/>
  <sheetViews>
    <sheetView topLeftCell="A78" workbookViewId="0">
      <selection activeCell="M78" sqref="M1:M1048576"/>
    </sheetView>
  </sheetViews>
  <sheetFormatPr defaultRowHeight="12.75"/>
  <cols>
    <col min="1" max="1" width="36.42578125" customWidth="1"/>
    <col min="2" max="2" width="8.85546875" style="9" customWidth="1"/>
    <col min="3" max="3" width="9.7109375" style="9" customWidth="1"/>
    <col min="4" max="4" width="12.42578125" customWidth="1"/>
    <col min="6" max="6" width="18.5703125" customWidth="1"/>
    <col min="7" max="7" width="7.5703125" customWidth="1"/>
    <col min="8" max="8" width="10.140625" customWidth="1"/>
    <col min="9" max="9" width="11" customWidth="1"/>
    <col min="11" max="11" width="14.5703125" customWidth="1"/>
    <col min="12" max="12" width="11.28515625" customWidth="1"/>
  </cols>
  <sheetData>
    <row r="1" spans="1:12" ht="38.25">
      <c r="A1" s="48" t="s">
        <v>4010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0"/>
      <c r="C2" s="20"/>
      <c r="D2" s="21">
        <f>AVERAGE(D4:D292)</f>
        <v>-2.0165044442916436E-2</v>
      </c>
      <c r="F2" s="21">
        <f>AVERAGE(F4:F292)</f>
        <v>5.9675767555711676E-2</v>
      </c>
      <c r="H2" s="21">
        <f>AVERAGE(H4:H292)</f>
        <v>6.9646593356314429E-2</v>
      </c>
      <c r="I2" s="21">
        <f>AVERAGE(I4:I292)</f>
        <v>-2.8814193484868449E-2</v>
      </c>
      <c r="L2" s="21">
        <f>AVERAGE(L4:L292)</f>
        <v>0.15244665655456494</v>
      </c>
    </row>
    <row r="3" spans="1:12">
      <c r="A3" s="61"/>
      <c r="B3" s="59"/>
      <c r="C3" s="59"/>
      <c r="D3" s="60"/>
    </row>
    <row r="4" spans="1:12" ht="63.75">
      <c r="A4" s="2" t="s">
        <v>3500</v>
      </c>
      <c r="B4" s="12" t="s">
        <v>3501</v>
      </c>
      <c r="C4" s="44"/>
      <c r="D4" s="43"/>
      <c r="E4" s="44"/>
      <c r="F4" s="43"/>
      <c r="G4" s="23" t="s">
        <v>3983</v>
      </c>
      <c r="H4" s="43">
        <f>AVERAGE(F5:F7)</f>
        <v>0.46567929364853322</v>
      </c>
      <c r="I4" s="43"/>
      <c r="J4" s="44"/>
      <c r="K4" s="44"/>
      <c r="L4" s="43"/>
    </row>
    <row r="5" spans="1:12">
      <c r="A5" s="1" t="s">
        <v>3750</v>
      </c>
      <c r="B5" s="7">
        <v>46.6</v>
      </c>
      <c r="C5" s="7">
        <v>48.35</v>
      </c>
      <c r="D5" s="16">
        <f>(C5-B5)/B5</f>
        <v>3.7553648068669523E-2</v>
      </c>
      <c r="E5" s="9">
        <v>35.11</v>
      </c>
      <c r="F5" s="16">
        <f>(C5-E5)/E5</f>
        <v>0.37710054115636576</v>
      </c>
      <c r="G5" s="40"/>
      <c r="H5" s="16"/>
      <c r="I5" s="16"/>
      <c r="J5" s="9"/>
      <c r="K5" s="9"/>
      <c r="L5" s="16"/>
    </row>
    <row r="6" spans="1:12">
      <c r="A6" s="1" t="s">
        <v>3751</v>
      </c>
      <c r="B6" s="7">
        <v>49.62</v>
      </c>
      <c r="C6" s="7">
        <v>51.46</v>
      </c>
      <c r="D6" s="16">
        <f>(C6-B6)/B6</f>
        <v>3.70818218460299E-2</v>
      </c>
      <c r="E6" s="9">
        <v>35.11</v>
      </c>
      <c r="F6" s="16">
        <f>(C6-E6)/E6</f>
        <v>0.46567929364853322</v>
      </c>
      <c r="G6" s="40"/>
      <c r="H6" s="16"/>
      <c r="I6" s="16"/>
      <c r="J6" s="9"/>
      <c r="K6" s="9"/>
      <c r="L6" s="16"/>
    </row>
    <row r="7" spans="1:12">
      <c r="A7" s="1" t="s">
        <v>3752</v>
      </c>
      <c r="B7" s="7">
        <v>52.64</v>
      </c>
      <c r="C7" s="7">
        <v>54.57</v>
      </c>
      <c r="D7" s="16">
        <f>(C7-B7)/B7</f>
        <v>3.666413373860182E-2</v>
      </c>
      <c r="E7" s="9">
        <v>35.11</v>
      </c>
      <c r="F7" s="16">
        <f>(C7-E7)/E7</f>
        <v>0.55425804614070073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31"/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3903</v>
      </c>
      <c r="B10" s="7">
        <v>27.41</v>
      </c>
      <c r="C10" s="7">
        <v>27.95</v>
      </c>
      <c r="D10" s="16">
        <f>(C10-B10)/B10</f>
        <v>1.9700839109813906E-2</v>
      </c>
      <c r="E10" s="9">
        <v>27.95</v>
      </c>
      <c r="F10" s="16">
        <f>(C10-E10)/E10</f>
        <v>0</v>
      </c>
      <c r="G10" s="40"/>
      <c r="H10" s="16"/>
      <c r="I10" s="16"/>
      <c r="J10" s="9">
        <v>21.48</v>
      </c>
      <c r="K10" s="9">
        <f>J10*1.4</f>
        <v>30.071999999999999</v>
      </c>
      <c r="L10" s="16">
        <f>(C10-K10)/K10</f>
        <v>-7.056397978185687E-2</v>
      </c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>
        <f t="shared" ref="K11:K74" si="0">J11*1.4</f>
        <v>0</v>
      </c>
      <c r="L11" s="16"/>
    </row>
    <row r="12" spans="1:12">
      <c r="A12" s="2" t="s">
        <v>3507</v>
      </c>
      <c r="B12" s="11" t="s">
        <v>3534</v>
      </c>
      <c r="C12" s="31" t="s">
        <v>3981</v>
      </c>
      <c r="D12" s="43"/>
      <c r="E12" s="44"/>
      <c r="F12" s="43"/>
      <c r="G12" s="23" t="s">
        <v>3983</v>
      </c>
      <c r="H12" s="43">
        <f>AVERAGE(F13)</f>
        <v>1.8693032596941044E-2</v>
      </c>
      <c r="I12" s="43"/>
      <c r="J12" s="44"/>
      <c r="K12" s="9">
        <f t="shared" si="0"/>
        <v>0</v>
      </c>
      <c r="L12" s="43"/>
    </row>
    <row r="13" spans="1:12">
      <c r="A13" s="1" t="s">
        <v>3508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>
        <f t="shared" si="0"/>
        <v>0</v>
      </c>
      <c r="L13" s="16"/>
    </row>
    <row r="14" spans="1:12">
      <c r="A14" s="1"/>
      <c r="B14" s="7"/>
      <c r="C14" s="7"/>
      <c r="D14" s="16"/>
      <c r="E14" s="9"/>
      <c r="F14" s="16"/>
      <c r="G14" s="40"/>
      <c r="H14" s="16"/>
      <c r="I14" s="16"/>
      <c r="J14" s="9"/>
      <c r="K14" s="9">
        <f t="shared" si="0"/>
        <v>0</v>
      </c>
      <c r="L14" s="16"/>
    </row>
    <row r="15" spans="1:12" ht="38.25">
      <c r="A15" s="2" t="s">
        <v>3509</v>
      </c>
      <c r="B15" s="12" t="s">
        <v>3754</v>
      </c>
      <c r="C15" s="12" t="s">
        <v>3754</v>
      </c>
      <c r="D15" s="43"/>
      <c r="E15" s="44"/>
      <c r="F15" s="43"/>
      <c r="G15" s="23" t="s">
        <v>3983</v>
      </c>
      <c r="H15" s="43">
        <f>AVERAGE(F16:F18)</f>
        <v>8.2090341690468568E-2</v>
      </c>
      <c r="I15" s="43"/>
      <c r="J15" s="44"/>
      <c r="K15" s="9">
        <f t="shared" si="0"/>
        <v>0</v>
      </c>
      <c r="L15" s="43"/>
    </row>
    <row r="16" spans="1:12">
      <c r="A16" s="1" t="s">
        <v>3511</v>
      </c>
      <c r="B16" s="7">
        <v>32.68</v>
      </c>
      <c r="C16" s="7">
        <v>32.68</v>
      </c>
      <c r="D16" s="16">
        <f>(C16-B16)/B16</f>
        <v>0</v>
      </c>
      <c r="E16" s="9">
        <v>31.51</v>
      </c>
      <c r="F16" s="16">
        <f>(C16-E16)/E16</f>
        <v>3.7131069501745419E-2</v>
      </c>
      <c r="G16" s="40"/>
      <c r="H16" s="16"/>
      <c r="I16" s="16"/>
      <c r="J16" s="9"/>
      <c r="K16" s="9">
        <f t="shared" si="0"/>
        <v>0</v>
      </c>
      <c r="L16" s="16"/>
    </row>
    <row r="17" spans="1:12">
      <c r="A17" s="1" t="s">
        <v>3512</v>
      </c>
      <c r="B17" s="7">
        <v>33.93</v>
      </c>
      <c r="C17" s="7">
        <v>33.93</v>
      </c>
      <c r="D17" s="16">
        <f>(C17-B17)/B17</f>
        <v>0</v>
      </c>
      <c r="E17" s="9">
        <v>31.51</v>
      </c>
      <c r="F17" s="16">
        <f>(C17-E17)/E17</f>
        <v>7.6801015550618787E-2</v>
      </c>
      <c r="G17" s="40"/>
      <c r="H17" s="16"/>
      <c r="I17" s="16"/>
      <c r="J17" s="9"/>
      <c r="K17" s="9">
        <f t="shared" si="0"/>
        <v>0</v>
      </c>
      <c r="L17" s="16"/>
    </row>
    <row r="18" spans="1:12">
      <c r="A18" s="1" t="s">
        <v>3513</v>
      </c>
      <c r="B18" s="7">
        <v>35.68</v>
      </c>
      <c r="C18" s="7">
        <v>35.68</v>
      </c>
      <c r="D18" s="16">
        <f>(C18-B18)/B18</f>
        <v>0</v>
      </c>
      <c r="E18" s="9">
        <v>31.51</v>
      </c>
      <c r="F18" s="16">
        <f>(C18-E18)/E18</f>
        <v>0.13233894001904151</v>
      </c>
      <c r="G18" s="40"/>
      <c r="H18" s="16"/>
      <c r="I18" s="16"/>
      <c r="J18" s="9"/>
      <c r="K18" s="9">
        <f t="shared" si="0"/>
        <v>0</v>
      </c>
      <c r="L18" s="16"/>
    </row>
    <row r="19" spans="1:12">
      <c r="A19" s="1"/>
      <c r="B19" s="7"/>
      <c r="C19" s="7"/>
      <c r="D19" s="16"/>
      <c r="E19" s="9"/>
      <c r="F19" s="16"/>
      <c r="G19" s="40"/>
      <c r="H19" s="16"/>
      <c r="I19" s="16"/>
      <c r="J19" s="9"/>
      <c r="K19" s="9">
        <f t="shared" si="0"/>
        <v>0</v>
      </c>
      <c r="L19" s="16"/>
    </row>
    <row r="20" spans="1:12" ht="38.25">
      <c r="A20" s="2" t="s">
        <v>3514</v>
      </c>
      <c r="B20" s="12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AVERAGE(F21:F22)</f>
        <v>4.7861241523213187E-2</v>
      </c>
      <c r="I20" s="43"/>
      <c r="J20" s="44"/>
      <c r="K20" s="9">
        <f t="shared" si="0"/>
        <v>0</v>
      </c>
      <c r="L20" s="43"/>
    </row>
    <row r="21" spans="1:12">
      <c r="A21" s="1" t="s">
        <v>3515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38.340000000000003</v>
      </c>
      <c r="F21" s="16">
        <f>(C21-E21)/E21</f>
        <v>1.1997913406363947E-2</v>
      </c>
      <c r="G21" s="40"/>
      <c r="H21" s="16"/>
      <c r="I21" s="16"/>
      <c r="J21" s="9">
        <v>23.6</v>
      </c>
      <c r="K21" s="9">
        <f t="shared" si="0"/>
        <v>33.04</v>
      </c>
      <c r="L21" s="16">
        <f>(C21-K21)/K21</f>
        <v>0.17433414043583528</v>
      </c>
    </row>
    <row r="22" spans="1:12">
      <c r="A22" s="1" t="s">
        <v>3516</v>
      </c>
      <c r="B22" s="7">
        <v>41.05</v>
      </c>
      <c r="C22" s="7">
        <v>41.55</v>
      </c>
      <c r="D22" s="16">
        <f>(C22-B22)/B22</f>
        <v>1.2180267965895251E-2</v>
      </c>
      <c r="E22" s="9">
        <v>38.340000000000003</v>
      </c>
      <c r="F22" s="16">
        <f>(C22-E22)/E22</f>
        <v>8.3724569640062432E-2</v>
      </c>
      <c r="G22" s="40"/>
      <c r="H22" s="16"/>
      <c r="I22" s="16"/>
      <c r="J22" s="9">
        <v>23.6</v>
      </c>
      <c r="K22" s="9">
        <f t="shared" si="0"/>
        <v>33.04</v>
      </c>
      <c r="L22" s="16">
        <f>(C22-K22)/K22</f>
        <v>0.25756658595641641</v>
      </c>
    </row>
    <row r="23" spans="1:12">
      <c r="A23" s="1"/>
      <c r="B23" s="7"/>
      <c r="C23" s="7"/>
      <c r="D23" s="16"/>
      <c r="E23" s="9"/>
      <c r="F23" s="16"/>
      <c r="G23" s="40"/>
      <c r="H23" s="16"/>
      <c r="I23" s="16"/>
      <c r="J23" s="9"/>
      <c r="K23" s="9">
        <f t="shared" si="0"/>
        <v>0</v>
      </c>
      <c r="L23" s="16"/>
    </row>
    <row r="24" spans="1:12">
      <c r="A24" s="2" t="s">
        <v>3517</v>
      </c>
      <c r="B24" s="7"/>
      <c r="C24" s="31"/>
      <c r="D24" s="43"/>
      <c r="E24" s="44"/>
      <c r="F24" s="43"/>
      <c r="G24" s="23" t="s">
        <v>3983</v>
      </c>
      <c r="H24" s="43">
        <f>AVERAGE(F25:F26)</f>
        <v>0.14526043351666124</v>
      </c>
      <c r="I24" s="43"/>
      <c r="J24" s="44"/>
      <c r="K24" s="9">
        <f t="shared" si="0"/>
        <v>0</v>
      </c>
      <c r="L24" s="43">
        <f>AVERAGE(L25:L26)</f>
        <v>-6.4552343530731651E-3</v>
      </c>
    </row>
    <row r="25" spans="1:12">
      <c r="A25" s="1" t="s">
        <v>3521</v>
      </c>
      <c r="B25" s="7">
        <v>34.4</v>
      </c>
      <c r="C25" s="7">
        <v>34.4</v>
      </c>
      <c r="D25" s="16">
        <f>(C25-B25)/B25</f>
        <v>0</v>
      </c>
      <c r="E25" s="9">
        <v>30.91</v>
      </c>
      <c r="F25" s="16">
        <f>(C25-E25)/E25</f>
        <v>0.11290844386929791</v>
      </c>
      <c r="G25" s="40"/>
      <c r="H25" s="16"/>
      <c r="I25" s="16"/>
      <c r="J25" s="9">
        <v>25.45</v>
      </c>
      <c r="K25" s="9">
        <f t="shared" si="0"/>
        <v>35.629999999999995</v>
      </c>
      <c r="L25" s="16">
        <f>(C25-K25)/K25</f>
        <v>-3.4521470670782962E-2</v>
      </c>
    </row>
    <row r="26" spans="1:12">
      <c r="A26" s="1" t="s">
        <v>3522</v>
      </c>
      <c r="B26" s="7">
        <v>36.4</v>
      </c>
      <c r="C26" s="7">
        <v>36.4</v>
      </c>
      <c r="D26" s="16">
        <f>(C26-B26)/B26</f>
        <v>0</v>
      </c>
      <c r="E26" s="9">
        <v>30.91</v>
      </c>
      <c r="F26" s="16">
        <f>(C26-E26)/E26</f>
        <v>0.17761242316402454</v>
      </c>
      <c r="G26" s="40"/>
      <c r="H26" s="16"/>
      <c r="I26" s="16"/>
      <c r="J26" s="9">
        <v>25.45</v>
      </c>
      <c r="K26" s="9">
        <f t="shared" si="0"/>
        <v>35.629999999999995</v>
      </c>
      <c r="L26" s="16">
        <f>(C26-K26)/K26</f>
        <v>2.1611001964636632E-2</v>
      </c>
    </row>
    <row r="27" spans="1:12">
      <c r="A27" s="1"/>
      <c r="B27" s="7"/>
      <c r="C27" s="7"/>
      <c r="D27" s="16"/>
      <c r="E27" s="9"/>
      <c r="F27" s="16"/>
      <c r="G27" s="40"/>
      <c r="H27" s="16"/>
      <c r="I27" s="16"/>
      <c r="J27" s="9"/>
      <c r="K27" s="9">
        <f t="shared" si="0"/>
        <v>0</v>
      </c>
      <c r="L27" s="16"/>
    </row>
    <row r="28" spans="1:12" ht="12.75" customHeight="1">
      <c r="A28" s="144" t="s">
        <v>3676</v>
      </c>
      <c r="B28" s="144"/>
      <c r="C28" s="31"/>
      <c r="D28" s="43"/>
      <c r="E28" s="44"/>
      <c r="F28" s="43"/>
      <c r="G28" s="23" t="s">
        <v>3983</v>
      </c>
      <c r="H28" s="43">
        <f>AVERAGE(F29:F31)</f>
        <v>9.1689250225835586E-2</v>
      </c>
      <c r="I28" s="43"/>
      <c r="J28" s="44"/>
      <c r="K28" s="9">
        <f t="shared" si="0"/>
        <v>0</v>
      </c>
      <c r="L28" s="43">
        <f>AVERAGE(L29:L31)</f>
        <v>0.27812590888659727</v>
      </c>
    </row>
    <row r="29" spans="1:12">
      <c r="A29" s="1" t="s">
        <v>3905</v>
      </c>
      <c r="B29" s="7">
        <v>27.97</v>
      </c>
      <c r="C29" s="7">
        <v>29.36</v>
      </c>
      <c r="D29" s="16">
        <f>(C29-B29)/B29</f>
        <v>4.9696102967465162E-2</v>
      </c>
      <c r="E29" s="9">
        <v>29.52</v>
      </c>
      <c r="F29" s="16">
        <f>(C29-E29)/E29</f>
        <v>-5.4200542005420106E-3</v>
      </c>
      <c r="G29" s="40"/>
      <c r="H29" s="16"/>
      <c r="I29" s="16"/>
      <c r="J29" s="9">
        <v>18.010000000000002</v>
      </c>
      <c r="K29" s="9">
        <f t="shared" si="0"/>
        <v>25.214000000000002</v>
      </c>
      <c r="L29" s="16">
        <f>(C29-K29)/K29</f>
        <v>0.16443245815816598</v>
      </c>
    </row>
    <row r="30" spans="1:12">
      <c r="A30" s="1" t="s">
        <v>3906</v>
      </c>
      <c r="B30" s="7">
        <v>30.88</v>
      </c>
      <c r="C30" s="7">
        <v>32.46</v>
      </c>
      <c r="D30" s="16">
        <f>(C30-B30)/B30</f>
        <v>5.1165803108808354E-2</v>
      </c>
      <c r="E30" s="9">
        <v>29.52</v>
      </c>
      <c r="F30" s="16">
        <f>(C30-E30)/E30</f>
        <v>9.9593495934959392E-2</v>
      </c>
      <c r="G30" s="40"/>
      <c r="H30" s="16"/>
      <c r="I30" s="16"/>
      <c r="J30" s="9">
        <v>18.010000000000002</v>
      </c>
      <c r="K30" s="9">
        <f t="shared" si="0"/>
        <v>25.214000000000002</v>
      </c>
      <c r="L30" s="16">
        <f t="shared" ref="L30:L31" si="1">(C30-K30)/K30</f>
        <v>0.28738002696914405</v>
      </c>
    </row>
    <row r="31" spans="1:12">
      <c r="A31" s="1" t="s">
        <v>3907</v>
      </c>
      <c r="B31" s="7">
        <v>33.130000000000003</v>
      </c>
      <c r="C31" s="7">
        <v>34.86</v>
      </c>
      <c r="D31" s="16">
        <f>(C31-B31)/B31</f>
        <v>5.2218533051614752E-2</v>
      </c>
      <c r="E31" s="9">
        <v>29.52</v>
      </c>
      <c r="F31" s="16">
        <f>(C31-E31)/E31</f>
        <v>0.18089430894308942</v>
      </c>
      <c r="G31" s="40"/>
      <c r="H31" s="16"/>
      <c r="I31" s="16"/>
      <c r="J31" s="9">
        <v>18.010000000000002</v>
      </c>
      <c r="K31" s="9">
        <f t="shared" si="0"/>
        <v>25.214000000000002</v>
      </c>
      <c r="L31" s="16">
        <f t="shared" si="1"/>
        <v>0.38256524153248184</v>
      </c>
    </row>
    <row r="32" spans="1:12">
      <c r="A32" s="1"/>
      <c r="B32" s="7"/>
      <c r="C32" s="7"/>
      <c r="D32" s="16"/>
      <c r="E32" s="9"/>
      <c r="F32" s="16"/>
      <c r="G32" s="40"/>
      <c r="H32" s="16"/>
      <c r="I32" s="16"/>
      <c r="J32" s="9"/>
      <c r="K32" s="9">
        <f t="shared" si="0"/>
        <v>0</v>
      </c>
      <c r="L32" s="16"/>
    </row>
    <row r="33" spans="1:12">
      <c r="A33" s="2" t="s">
        <v>3527</v>
      </c>
      <c r="B33" s="11" t="s">
        <v>3534</v>
      </c>
      <c r="C33" s="33" t="s">
        <v>3534</v>
      </c>
      <c r="D33" s="43"/>
      <c r="E33" s="44"/>
      <c r="F33" s="43"/>
      <c r="G33" s="23" t="s">
        <v>3983</v>
      </c>
      <c r="H33" s="43">
        <f>AVERAGE(F34:F38)</f>
        <v>-2.2260273972602725E-2</v>
      </c>
      <c r="I33" s="43"/>
      <c r="J33" s="44"/>
      <c r="K33" s="9">
        <f t="shared" si="0"/>
        <v>0</v>
      </c>
      <c r="L33" s="43"/>
    </row>
    <row r="34" spans="1:12">
      <c r="A34" s="1" t="s">
        <v>3528</v>
      </c>
      <c r="B34" s="7">
        <v>39.19</v>
      </c>
      <c r="C34" s="7">
        <v>40.5</v>
      </c>
      <c r="D34" s="16">
        <f>(C34-B34)/B34</f>
        <v>3.3426894615973521E-2</v>
      </c>
      <c r="E34" s="9">
        <v>58.4</v>
      </c>
      <c r="F34" s="16">
        <f>(C34-E34)/E34</f>
        <v>-0.3065068493150685</v>
      </c>
      <c r="G34" s="40"/>
      <c r="H34" s="16"/>
      <c r="I34" s="16"/>
      <c r="J34" s="9"/>
      <c r="K34" s="9">
        <f t="shared" si="0"/>
        <v>0</v>
      </c>
      <c r="L34" s="16"/>
    </row>
    <row r="35" spans="1:12">
      <c r="A35" s="1" t="s">
        <v>3529</v>
      </c>
      <c r="B35" s="7">
        <v>57.91</v>
      </c>
      <c r="C35" s="7">
        <v>59.9</v>
      </c>
      <c r="D35" s="16">
        <f>(C35-B35)/B35</f>
        <v>3.4363667760317768E-2</v>
      </c>
      <c r="E35" s="9">
        <v>58.4</v>
      </c>
      <c r="F35" s="16">
        <f>(C35-E35)/E35</f>
        <v>2.5684931506849317E-2</v>
      </c>
      <c r="G35" s="40"/>
      <c r="H35" s="16"/>
      <c r="I35" s="16"/>
      <c r="J35" s="9"/>
      <c r="K35" s="9">
        <f t="shared" si="0"/>
        <v>0</v>
      </c>
      <c r="L35" s="16"/>
    </row>
    <row r="36" spans="1:12">
      <c r="A36" s="1" t="s">
        <v>3530</v>
      </c>
      <c r="B36" s="7">
        <v>63.02</v>
      </c>
      <c r="C36" s="7">
        <v>65.16</v>
      </c>
      <c r="D36" s="16">
        <f>(C36-B36)/B36</f>
        <v>3.3957473817835503E-2</v>
      </c>
      <c r="E36" s="9">
        <v>58.4</v>
      </c>
      <c r="F36" s="16">
        <f>(C36-E36)/E36</f>
        <v>0.11575342465753422</v>
      </c>
      <c r="G36" s="40"/>
      <c r="H36" s="16"/>
      <c r="I36" s="16"/>
      <c r="J36" s="9"/>
      <c r="K36" s="9">
        <f t="shared" si="0"/>
        <v>0</v>
      </c>
      <c r="L36" s="16"/>
    </row>
    <row r="37" spans="1:12">
      <c r="A37" s="1" t="s">
        <v>3531</v>
      </c>
      <c r="B37" s="7">
        <v>68.12</v>
      </c>
      <c r="C37" s="7">
        <v>70.45</v>
      </c>
      <c r="D37" s="16">
        <f>(C37-B37)/B37</f>
        <v>3.4204345273047533E-2</v>
      </c>
      <c r="E37" s="9">
        <v>58.4</v>
      </c>
      <c r="F37" s="16">
        <f>(C37-E37)/E37</f>
        <v>0.20633561643835624</v>
      </c>
      <c r="G37" s="40"/>
      <c r="H37" s="16"/>
      <c r="I37" s="16"/>
      <c r="J37" s="9"/>
      <c r="K37" s="9">
        <f t="shared" si="0"/>
        <v>0</v>
      </c>
      <c r="L37" s="16"/>
    </row>
    <row r="38" spans="1:12">
      <c r="A38" s="1" t="s">
        <v>3532</v>
      </c>
      <c r="B38" s="7">
        <v>47.86</v>
      </c>
      <c r="C38" s="7">
        <v>49.49</v>
      </c>
      <c r="D38" s="16">
        <f>(C38-B38)/B38</f>
        <v>3.4057668198913552E-2</v>
      </c>
      <c r="E38" s="9">
        <v>58.4</v>
      </c>
      <c r="F38" s="16">
        <f>(C38-E38)/E38</f>
        <v>-0.15256849315068488</v>
      </c>
      <c r="G38" s="40"/>
      <c r="H38" s="16"/>
      <c r="I38" s="16"/>
      <c r="J38" s="9"/>
      <c r="K38" s="9">
        <f t="shared" si="0"/>
        <v>0</v>
      </c>
      <c r="L38" s="16"/>
    </row>
    <row r="39" spans="1:12">
      <c r="A39" s="1"/>
      <c r="B39" s="7"/>
      <c r="C39" s="7"/>
      <c r="D39" s="16"/>
      <c r="E39" s="9"/>
      <c r="F39" s="16"/>
      <c r="G39" s="40"/>
      <c r="H39" s="16"/>
      <c r="I39" s="16"/>
      <c r="J39" s="9"/>
      <c r="K39" s="9">
        <f t="shared" si="0"/>
        <v>0</v>
      </c>
      <c r="L39" s="16"/>
    </row>
    <row r="40" spans="1:12">
      <c r="A40" s="1"/>
      <c r="B40" s="7"/>
      <c r="C40" s="7"/>
      <c r="D40" s="16"/>
      <c r="E40" s="9"/>
      <c r="F40" s="16"/>
      <c r="G40" s="40"/>
      <c r="H40" s="16"/>
      <c r="I40" s="16"/>
      <c r="J40" s="9"/>
      <c r="K40" s="9">
        <f t="shared" si="0"/>
        <v>0</v>
      </c>
      <c r="L40" s="16"/>
    </row>
    <row r="41" spans="1:12">
      <c r="A41" s="2" t="s">
        <v>3533</v>
      </c>
      <c r="B41" s="11" t="s">
        <v>3534</v>
      </c>
      <c r="C41" s="31" t="s">
        <v>3997</v>
      </c>
      <c r="D41" s="43"/>
      <c r="E41" s="44"/>
      <c r="F41" s="43"/>
      <c r="G41" s="23" t="s">
        <v>3983</v>
      </c>
      <c r="H41" s="43">
        <f>AVERAGE(F42)</f>
        <v>5.7445868316395301E-3</v>
      </c>
      <c r="I41" s="43"/>
      <c r="J41" s="44"/>
      <c r="K41" s="9">
        <f t="shared" si="0"/>
        <v>0</v>
      </c>
      <c r="L41" s="43"/>
    </row>
    <row r="42" spans="1:12">
      <c r="A42" s="1" t="s">
        <v>3535</v>
      </c>
      <c r="B42" s="7">
        <v>44.31</v>
      </c>
      <c r="C42" s="7">
        <v>45.52</v>
      </c>
      <c r="D42" s="16">
        <f>(C42-B42)/B42</f>
        <v>2.7307605506657655E-2</v>
      </c>
      <c r="E42" s="9">
        <v>45.26</v>
      </c>
      <c r="F42" s="16">
        <f>(C42-E42)/E42</f>
        <v>5.7445868316395301E-3</v>
      </c>
      <c r="G42" s="40"/>
      <c r="H42" s="16"/>
      <c r="I42" s="16"/>
      <c r="J42" s="9"/>
      <c r="K42" s="9">
        <f t="shared" si="0"/>
        <v>0</v>
      </c>
      <c r="L42" s="16"/>
    </row>
    <row r="43" spans="1:12">
      <c r="A43" s="1"/>
      <c r="B43" s="7"/>
      <c r="C43" s="7"/>
      <c r="D43" s="16"/>
      <c r="E43" s="9"/>
      <c r="F43" s="16"/>
      <c r="G43" s="40"/>
      <c r="H43" s="16"/>
      <c r="I43" s="16"/>
      <c r="J43" s="9"/>
      <c r="K43" s="9">
        <f t="shared" si="0"/>
        <v>0</v>
      </c>
      <c r="L43" s="16"/>
    </row>
    <row r="44" spans="1:12">
      <c r="A44" s="2" t="s">
        <v>3536</v>
      </c>
      <c r="B44" s="7"/>
      <c r="C44" s="31"/>
      <c r="D44" s="43"/>
      <c r="E44" s="44"/>
      <c r="F44" s="43"/>
      <c r="G44" s="23" t="s">
        <v>3983</v>
      </c>
      <c r="H44" s="43">
        <f>AVERAGE(F45:F48)</f>
        <v>0.17959801167062883</v>
      </c>
      <c r="I44" s="43"/>
      <c r="J44" s="44"/>
      <c r="K44" s="9">
        <f t="shared" si="0"/>
        <v>0</v>
      </c>
      <c r="L44" s="43"/>
    </row>
    <row r="45" spans="1:12">
      <c r="A45" s="1" t="s">
        <v>3537</v>
      </c>
      <c r="B45" s="7">
        <v>34.39</v>
      </c>
      <c r="C45" s="7">
        <v>50.78</v>
      </c>
      <c r="D45" s="16">
        <f>(C45-B45)/B45</f>
        <v>0.47659203256760685</v>
      </c>
      <c r="E45" s="9">
        <v>46.27</v>
      </c>
      <c r="F45" s="16">
        <f>(C45-E45)/E45</f>
        <v>9.7471363734601205E-2</v>
      </c>
      <c r="G45" s="40"/>
      <c r="H45" s="16"/>
      <c r="I45" s="16"/>
      <c r="J45" s="9">
        <v>25.21</v>
      </c>
      <c r="K45" s="9">
        <f t="shared" si="0"/>
        <v>35.293999999999997</v>
      </c>
      <c r="L45" s="16">
        <f>(C45-K45)/K45</f>
        <v>0.43877146257154204</v>
      </c>
    </row>
    <row r="46" spans="1:12">
      <c r="A46" s="1" t="s">
        <v>3538</v>
      </c>
      <c r="B46" s="7">
        <v>34.39</v>
      </c>
      <c r="C46" s="7">
        <v>54.58</v>
      </c>
      <c r="D46" s="16">
        <f>(C46-B46)/B46</f>
        <v>0.58708927013666756</v>
      </c>
      <c r="E46" s="9">
        <v>46.27</v>
      </c>
      <c r="F46" s="16">
        <f>(C46-E46)/E46</f>
        <v>0.1795980116706288</v>
      </c>
      <c r="G46" s="40"/>
      <c r="H46" s="16"/>
      <c r="I46" s="16"/>
      <c r="J46" s="9">
        <v>25.21</v>
      </c>
      <c r="K46" s="9">
        <f t="shared" si="0"/>
        <v>35.293999999999997</v>
      </c>
      <c r="L46" s="16">
        <f t="shared" ref="L46:L48" si="2">(C46-K46)/K46</f>
        <v>0.54643848812829388</v>
      </c>
    </row>
    <row r="47" spans="1:12">
      <c r="A47" s="1" t="s">
        <v>3539</v>
      </c>
      <c r="B47" s="7">
        <v>34.39</v>
      </c>
      <c r="C47" s="7">
        <v>54.58</v>
      </c>
      <c r="D47" s="16">
        <f>(C47-B47)/B47</f>
        <v>0.58708927013666756</v>
      </c>
      <c r="E47" s="9">
        <v>46.27</v>
      </c>
      <c r="F47" s="16">
        <f>(C47-E47)/E47</f>
        <v>0.1795980116706288</v>
      </c>
      <c r="G47" s="40"/>
      <c r="H47" s="16"/>
      <c r="I47" s="16"/>
      <c r="J47" s="9">
        <v>25.21</v>
      </c>
      <c r="K47" s="9">
        <f t="shared" si="0"/>
        <v>35.293999999999997</v>
      </c>
      <c r="L47" s="16">
        <f t="shared" si="2"/>
        <v>0.54643848812829388</v>
      </c>
    </row>
    <row r="48" spans="1:12">
      <c r="A48" s="1" t="s">
        <v>3540</v>
      </c>
      <c r="B48" s="7">
        <v>34.39</v>
      </c>
      <c r="C48" s="7">
        <v>58.38</v>
      </c>
      <c r="D48" s="16">
        <f>(C48-B48)/B48</f>
        <v>0.6975865077057285</v>
      </c>
      <c r="E48" s="9">
        <v>46.27</v>
      </c>
      <c r="F48" s="16">
        <f>(C48-E48)/E48</f>
        <v>0.26172465960665653</v>
      </c>
      <c r="G48" s="40"/>
      <c r="H48" s="16"/>
      <c r="I48" s="16"/>
      <c r="J48" s="9">
        <v>25.21</v>
      </c>
      <c r="K48" s="9">
        <f t="shared" si="0"/>
        <v>35.293999999999997</v>
      </c>
      <c r="L48" s="16">
        <f t="shared" si="2"/>
        <v>0.65410551368504588</v>
      </c>
    </row>
    <row r="49" spans="1:12">
      <c r="A49" s="1"/>
      <c r="B49" s="7"/>
      <c r="C49" s="7"/>
      <c r="D49" s="16"/>
      <c r="E49" s="9"/>
      <c r="F49" s="16"/>
      <c r="G49" s="40"/>
      <c r="H49" s="16"/>
      <c r="I49" s="16"/>
      <c r="J49" s="9"/>
      <c r="K49" s="9">
        <f t="shared" si="0"/>
        <v>0</v>
      </c>
      <c r="L49" s="16"/>
    </row>
    <row r="50" spans="1:12">
      <c r="A50" s="1"/>
      <c r="B50" s="7"/>
      <c r="C50" s="7"/>
      <c r="D50" s="16"/>
      <c r="E50" s="9"/>
      <c r="F50" s="16"/>
      <c r="G50" s="40"/>
      <c r="H50" s="16"/>
      <c r="I50" s="16"/>
      <c r="J50" s="9"/>
      <c r="K50" s="9">
        <f t="shared" si="0"/>
        <v>0</v>
      </c>
      <c r="L50" s="16"/>
    </row>
    <row r="51" spans="1:12">
      <c r="A51" s="2" t="s">
        <v>3541</v>
      </c>
      <c r="B51" s="11" t="s">
        <v>3534</v>
      </c>
      <c r="C51" s="33" t="s">
        <v>3534</v>
      </c>
      <c r="D51" s="43"/>
      <c r="E51" s="44"/>
      <c r="F51" s="43"/>
      <c r="G51" s="23" t="s">
        <v>3983</v>
      </c>
      <c r="H51" s="43">
        <f>AVERAGE(F52:F53)</f>
        <v>0.13437283437283426</v>
      </c>
      <c r="I51" s="43"/>
      <c r="J51" s="44"/>
      <c r="K51" s="9">
        <f t="shared" si="0"/>
        <v>0</v>
      </c>
      <c r="L51" s="43"/>
    </row>
    <row r="52" spans="1:12" ht="25.5">
      <c r="A52" s="1" t="s">
        <v>3542</v>
      </c>
      <c r="B52" s="7">
        <v>46.01</v>
      </c>
      <c r="C52" s="7">
        <v>78.209999999999994</v>
      </c>
      <c r="D52" s="16">
        <f>(C52-B52)/B52</f>
        <v>0.69984785916105186</v>
      </c>
      <c r="E52" s="9">
        <v>72.150000000000006</v>
      </c>
      <c r="F52" s="16">
        <f>(C52-E52)/E52</f>
        <v>8.3991683991683816E-2</v>
      </c>
      <c r="G52" s="40"/>
      <c r="H52" s="16"/>
      <c r="I52" s="16"/>
      <c r="J52" s="9"/>
      <c r="K52" s="9">
        <f t="shared" si="0"/>
        <v>0</v>
      </c>
      <c r="L52" s="16"/>
    </row>
    <row r="53" spans="1:12">
      <c r="A53" s="1" t="s">
        <v>3543</v>
      </c>
      <c r="B53" s="7">
        <v>46.01</v>
      </c>
      <c r="C53" s="7">
        <v>85.48</v>
      </c>
      <c r="D53" s="16">
        <f>(C53-B53)/B53</f>
        <v>0.85785698761138895</v>
      </c>
      <c r="E53" s="9">
        <v>72.150000000000006</v>
      </c>
      <c r="F53" s="16">
        <f>(C53-E53)/E53</f>
        <v>0.18475398475398472</v>
      </c>
      <c r="G53" s="40"/>
      <c r="H53" s="16"/>
      <c r="I53" s="16"/>
      <c r="J53" s="9"/>
      <c r="K53" s="9">
        <f t="shared" si="0"/>
        <v>0</v>
      </c>
      <c r="L53" s="16"/>
    </row>
    <row r="54" spans="1:12">
      <c r="A54" s="1"/>
      <c r="B54" s="7"/>
      <c r="C54" s="7"/>
      <c r="D54" s="16"/>
      <c r="E54" s="9"/>
      <c r="F54" s="16"/>
      <c r="G54" s="40"/>
      <c r="H54" s="16"/>
      <c r="I54" s="16"/>
      <c r="J54" s="9"/>
      <c r="K54" s="9">
        <f t="shared" si="0"/>
        <v>0</v>
      </c>
      <c r="L54" s="16"/>
    </row>
    <row r="55" spans="1:12">
      <c r="A55" s="2" t="s">
        <v>3544</v>
      </c>
      <c r="B55" s="7"/>
      <c r="C55" s="31"/>
      <c r="D55" s="43"/>
      <c r="E55" s="44"/>
      <c r="F55" s="43"/>
      <c r="G55" s="23" t="s">
        <v>3984</v>
      </c>
      <c r="H55" s="43"/>
      <c r="I55" s="43">
        <f>AVERAGE(F56)</f>
        <v>0</v>
      </c>
      <c r="J55" s="44"/>
      <c r="K55" s="9">
        <f t="shared" si="0"/>
        <v>0</v>
      </c>
      <c r="L55" s="43"/>
    </row>
    <row r="56" spans="1:12">
      <c r="A56" s="1" t="s">
        <v>3545</v>
      </c>
      <c r="B56" s="7">
        <v>37.89</v>
      </c>
      <c r="C56" s="7">
        <v>48.07</v>
      </c>
      <c r="D56" s="16">
        <f>(C56-B56)/B56</f>
        <v>0.26867247294800739</v>
      </c>
      <c r="E56" s="9">
        <v>48.07</v>
      </c>
      <c r="F56" s="16">
        <f>(C56-E56)/E56</f>
        <v>0</v>
      </c>
      <c r="G56" s="40"/>
      <c r="H56" s="16"/>
      <c r="I56" s="16"/>
      <c r="J56" s="9">
        <v>14.99</v>
      </c>
      <c r="K56" s="9">
        <f t="shared" si="0"/>
        <v>20.986000000000001</v>
      </c>
      <c r="L56" s="16">
        <f>(C56-K56)/K56</f>
        <v>1.2905746688268369</v>
      </c>
    </row>
    <row r="57" spans="1:12">
      <c r="A57" s="1"/>
      <c r="B57" s="7"/>
      <c r="C57" s="7"/>
      <c r="D57" s="16"/>
      <c r="E57" s="9"/>
      <c r="F57" s="16"/>
      <c r="G57" s="40"/>
      <c r="H57" s="16"/>
      <c r="I57" s="16"/>
      <c r="J57" s="9"/>
      <c r="K57" s="9">
        <f t="shared" si="0"/>
        <v>0</v>
      </c>
      <c r="L57" s="16"/>
    </row>
    <row r="58" spans="1:12" ht="51">
      <c r="A58" s="2" t="s">
        <v>3546</v>
      </c>
      <c r="B58" s="12" t="s">
        <v>3547</v>
      </c>
      <c r="C58" s="55" t="s">
        <v>4011</v>
      </c>
      <c r="D58" s="43"/>
      <c r="E58" s="44"/>
      <c r="F58" s="43"/>
      <c r="G58" s="23"/>
      <c r="H58" s="43"/>
      <c r="I58" s="43"/>
      <c r="J58" s="44"/>
      <c r="K58" s="9">
        <f t="shared" si="0"/>
        <v>0</v>
      </c>
      <c r="L58" s="43"/>
    </row>
    <row r="59" spans="1:12">
      <c r="A59" s="1" t="s">
        <v>3548</v>
      </c>
      <c r="B59" s="7">
        <v>27.95</v>
      </c>
      <c r="C59" s="7">
        <v>27.95</v>
      </c>
      <c r="D59" s="16">
        <f>(C59-B59)/B59</f>
        <v>0</v>
      </c>
      <c r="E59" s="9"/>
      <c r="F59" s="16"/>
      <c r="G59" s="40"/>
      <c r="H59" s="16"/>
      <c r="I59" s="16"/>
      <c r="J59" s="9"/>
      <c r="K59" s="9">
        <f t="shared" si="0"/>
        <v>0</v>
      </c>
      <c r="L59" s="16"/>
    </row>
    <row r="60" spans="1:12">
      <c r="A60" s="1"/>
      <c r="B60" s="7"/>
      <c r="C60" s="7"/>
      <c r="D60" s="16"/>
      <c r="E60" s="9"/>
      <c r="F60" s="16"/>
      <c r="G60" s="40"/>
      <c r="H60" s="16"/>
      <c r="I60" s="16"/>
      <c r="J60" s="9"/>
      <c r="K60" s="9">
        <f t="shared" si="0"/>
        <v>0</v>
      </c>
      <c r="L60" s="16"/>
    </row>
    <row r="61" spans="1:12">
      <c r="A61" s="2" t="s">
        <v>3549</v>
      </c>
      <c r="B61" s="7"/>
      <c r="C61" s="31"/>
      <c r="D61" s="43"/>
      <c r="E61" s="44"/>
      <c r="F61" s="43"/>
      <c r="G61" s="23" t="s">
        <v>3983</v>
      </c>
      <c r="H61" s="43">
        <f>AVERAGE(F62:F63)</f>
        <v>3.6491324703938281E-2</v>
      </c>
      <c r="I61" s="43"/>
      <c r="J61" s="44"/>
      <c r="K61" s="9">
        <f t="shared" si="0"/>
        <v>0</v>
      </c>
      <c r="L61" s="43"/>
    </row>
    <row r="62" spans="1:12">
      <c r="A62" s="1" t="s">
        <v>3550</v>
      </c>
      <c r="B62" s="7">
        <v>36.26</v>
      </c>
      <c r="C62" s="7">
        <v>36.340000000000003</v>
      </c>
      <c r="D62" s="16">
        <f>(C62-B62)/B62</f>
        <v>2.2062879205737838E-3</v>
      </c>
      <c r="E62" s="9">
        <v>36.31</v>
      </c>
      <c r="F62" s="16">
        <f>(C62-E62)/E62</f>
        <v>8.2621867254203073E-4</v>
      </c>
      <c r="G62" s="40"/>
      <c r="H62" s="16"/>
      <c r="I62" s="16"/>
      <c r="J62" s="9"/>
      <c r="K62" s="9">
        <f t="shared" si="0"/>
        <v>0</v>
      </c>
      <c r="L62" s="16"/>
    </row>
    <row r="63" spans="1:12">
      <c r="A63" s="1" t="s">
        <v>3551</v>
      </c>
      <c r="B63" s="7">
        <v>38.9</v>
      </c>
      <c r="C63" s="7">
        <v>38.93</v>
      </c>
      <c r="D63" s="16">
        <f>(C63-B63)/B63</f>
        <v>7.7120822622110891E-4</v>
      </c>
      <c r="E63" s="9">
        <v>36.31</v>
      </c>
      <c r="F63" s="16">
        <f>(C63-E63)/E63</f>
        <v>7.2156430735334537E-2</v>
      </c>
      <c r="G63" s="40"/>
      <c r="H63" s="16"/>
      <c r="I63" s="16"/>
      <c r="J63" s="9"/>
      <c r="K63" s="9">
        <f t="shared" si="0"/>
        <v>0</v>
      </c>
      <c r="L63" s="16"/>
    </row>
    <row r="64" spans="1:12">
      <c r="A64" s="1"/>
      <c r="B64" s="7"/>
      <c r="C64" s="7"/>
      <c r="D64" s="16"/>
      <c r="E64" s="9"/>
      <c r="F64" s="16"/>
      <c r="G64" s="40"/>
      <c r="H64" s="16"/>
      <c r="I64" s="16"/>
      <c r="J64" s="9"/>
      <c r="K64" s="9">
        <f t="shared" si="0"/>
        <v>0</v>
      </c>
      <c r="L64" s="16"/>
    </row>
    <row r="65" spans="1:12">
      <c r="A65" s="2" t="s">
        <v>3552</v>
      </c>
      <c r="B65" s="7"/>
      <c r="C65" s="31"/>
      <c r="D65" s="43"/>
      <c r="E65" s="44"/>
      <c r="F65" s="43"/>
      <c r="G65" s="23" t="s">
        <v>3984</v>
      </c>
      <c r="H65" s="43"/>
      <c r="I65" s="43">
        <f>AVERAGE(F66)</f>
        <v>-2.9815428300993801E-2</v>
      </c>
      <c r="J65" s="44"/>
      <c r="K65" s="9">
        <f t="shared" si="0"/>
        <v>0</v>
      </c>
      <c r="L65" s="43"/>
    </row>
    <row r="66" spans="1:12">
      <c r="A66" s="1" t="s">
        <v>3971</v>
      </c>
      <c r="B66" s="7">
        <v>21.25</v>
      </c>
      <c r="C66" s="7">
        <v>20.5</v>
      </c>
      <c r="D66" s="16">
        <f>(C66-B66)/B66</f>
        <v>-3.5294117647058823E-2</v>
      </c>
      <c r="E66" s="9">
        <v>21.13</v>
      </c>
      <c r="F66" s="16">
        <f>(C66-E66)/E66</f>
        <v>-2.9815428300993801E-2</v>
      </c>
      <c r="G66" s="40"/>
      <c r="H66" s="16"/>
      <c r="I66" s="16"/>
      <c r="J66" s="9"/>
      <c r="K66" s="9">
        <f t="shared" si="0"/>
        <v>0</v>
      </c>
      <c r="L66" s="16"/>
    </row>
    <row r="67" spans="1:12">
      <c r="A67" s="1"/>
      <c r="B67" s="7"/>
      <c r="C67" s="7"/>
      <c r="D67" s="16"/>
      <c r="E67" s="9"/>
      <c r="F67" s="16"/>
      <c r="G67" s="40"/>
      <c r="H67" s="16"/>
      <c r="I67" s="16"/>
      <c r="J67" s="9"/>
      <c r="K67" s="9">
        <f t="shared" si="0"/>
        <v>0</v>
      </c>
      <c r="L67" s="16"/>
    </row>
    <row r="68" spans="1:12" ht="51">
      <c r="A68" s="2" t="s">
        <v>3554</v>
      </c>
      <c r="B68" s="12" t="s">
        <v>3547</v>
      </c>
      <c r="C68" s="12" t="s">
        <v>3547</v>
      </c>
      <c r="D68" s="43"/>
      <c r="E68" s="44"/>
      <c r="F68" s="43"/>
      <c r="G68" s="23" t="s">
        <v>3983</v>
      </c>
      <c r="H68" s="43">
        <f>AVERAGE(F69:F70)</f>
        <v>0</v>
      </c>
      <c r="I68" s="43"/>
      <c r="J68" s="44"/>
      <c r="K68" s="9">
        <f t="shared" si="0"/>
        <v>0</v>
      </c>
      <c r="L68" s="43"/>
    </row>
    <row r="69" spans="1:12">
      <c r="A69" s="1" t="s">
        <v>3555</v>
      </c>
      <c r="B69" s="7">
        <v>33.57</v>
      </c>
      <c r="C69" s="7">
        <v>33.57</v>
      </c>
      <c r="D69" s="16">
        <f>(C69-B69)/B69</f>
        <v>0</v>
      </c>
      <c r="E69" s="9">
        <v>33.57</v>
      </c>
      <c r="F69" s="16">
        <f>(C69-E69)/E69</f>
        <v>0</v>
      </c>
      <c r="G69" s="40"/>
      <c r="H69" s="16"/>
      <c r="I69" s="16"/>
      <c r="J69" s="9"/>
      <c r="K69" s="9">
        <f t="shared" si="0"/>
        <v>0</v>
      </c>
      <c r="L69" s="16"/>
    </row>
    <row r="70" spans="1:12">
      <c r="A70" s="143"/>
      <c r="B70" s="143"/>
      <c r="C70" s="7"/>
      <c r="D70" s="16"/>
      <c r="E70" s="9"/>
      <c r="F70" s="16"/>
      <c r="G70" s="40"/>
      <c r="H70" s="16"/>
      <c r="I70" s="16"/>
      <c r="J70" s="9"/>
      <c r="K70" s="9">
        <f t="shared" si="0"/>
        <v>0</v>
      </c>
      <c r="L70" s="16"/>
    </row>
    <row r="71" spans="1:12" ht="38.25">
      <c r="A71" s="2" t="s">
        <v>3556</v>
      </c>
      <c r="B71" s="12" t="s">
        <v>3510</v>
      </c>
      <c r="C71" s="31"/>
      <c r="D71" s="43"/>
      <c r="E71" s="44"/>
      <c r="F71" s="43"/>
      <c r="G71" s="23" t="s">
        <v>3984</v>
      </c>
      <c r="H71" s="43"/>
      <c r="I71" s="43">
        <f>AVERAGE(F72:F73)</f>
        <v>-0.25112331502745883</v>
      </c>
      <c r="J71" s="44"/>
      <c r="K71" s="9">
        <f t="shared" si="0"/>
        <v>0</v>
      </c>
      <c r="L71" s="43"/>
    </row>
    <row r="72" spans="1:12">
      <c r="A72" s="1" t="s">
        <v>3557</v>
      </c>
      <c r="B72" s="7">
        <v>30.1</v>
      </c>
      <c r="C72" s="7">
        <v>15</v>
      </c>
      <c r="D72" s="16">
        <f>(C72-B72)/B72</f>
        <v>-0.50166112956810638</v>
      </c>
      <c r="E72" s="9">
        <v>20.03</v>
      </c>
      <c r="F72" s="16">
        <f>(C72-E72)/E72</f>
        <v>-0.25112331502745883</v>
      </c>
      <c r="G72" s="40"/>
      <c r="H72" s="16"/>
      <c r="I72" s="16"/>
      <c r="J72" s="9"/>
      <c r="K72" s="9">
        <f t="shared" si="0"/>
        <v>0</v>
      </c>
      <c r="L72" s="16"/>
    </row>
    <row r="73" spans="1:12">
      <c r="A73" s="1" t="s">
        <v>3683</v>
      </c>
      <c r="B73" s="7">
        <v>30.6</v>
      </c>
      <c r="C73" s="7">
        <v>15</v>
      </c>
      <c r="D73" s="16">
        <f>(C73-B73)/B73</f>
        <v>-0.50980392156862753</v>
      </c>
      <c r="E73" s="9">
        <v>20.03</v>
      </c>
      <c r="F73" s="16">
        <f>(C73-E73)/E73</f>
        <v>-0.25112331502745883</v>
      </c>
      <c r="G73" s="40"/>
      <c r="H73" s="16"/>
      <c r="I73" s="16"/>
      <c r="J73" s="9"/>
      <c r="K73" s="9">
        <f t="shared" si="0"/>
        <v>0</v>
      </c>
      <c r="L73" s="16"/>
    </row>
    <row r="74" spans="1:12">
      <c r="A74" s="143"/>
      <c r="B74" s="143"/>
      <c r="C74" s="7"/>
      <c r="D74" s="16"/>
      <c r="E74" s="9"/>
      <c r="F74" s="16"/>
      <c r="G74" s="40"/>
      <c r="H74" s="16"/>
      <c r="I74" s="16"/>
      <c r="J74" s="9"/>
      <c r="K74" s="9">
        <f t="shared" si="0"/>
        <v>0</v>
      </c>
      <c r="L74" s="16"/>
    </row>
    <row r="75" spans="1:12" ht="38.25">
      <c r="A75" s="2" t="s">
        <v>3775</v>
      </c>
      <c r="B75" s="12" t="s">
        <v>3510</v>
      </c>
      <c r="C75" s="12" t="s">
        <v>3510</v>
      </c>
      <c r="D75" s="43"/>
      <c r="E75" s="44"/>
      <c r="F75" s="43"/>
      <c r="G75" s="23" t="s">
        <v>3983</v>
      </c>
      <c r="H75" s="43">
        <f>AVERAGE(F76:F78)</f>
        <v>3.9035477814013279E-2</v>
      </c>
      <c r="I75" s="43"/>
      <c r="J75" s="44"/>
      <c r="K75" s="9">
        <f t="shared" ref="K75:K138" si="3">J75*1.4</f>
        <v>0</v>
      </c>
      <c r="L75" s="43"/>
    </row>
    <row r="76" spans="1:12">
      <c r="A76" s="1" t="s">
        <v>3560</v>
      </c>
      <c r="B76" s="7">
        <v>33.76</v>
      </c>
      <c r="C76" s="7">
        <v>34.26</v>
      </c>
      <c r="D76" s="16">
        <f>(C76-B76)/B76</f>
        <v>1.481042654028436E-2</v>
      </c>
      <c r="E76" s="9">
        <v>33.729999999999997</v>
      </c>
      <c r="F76" s="16">
        <f>(C76-E76)/E76</f>
        <v>1.5713015120071189E-2</v>
      </c>
      <c r="G76" s="40"/>
      <c r="H76" s="16"/>
      <c r="I76" s="16"/>
      <c r="J76" s="9"/>
      <c r="K76" s="9">
        <f t="shared" si="3"/>
        <v>0</v>
      </c>
      <c r="L76" s="16"/>
    </row>
    <row r="77" spans="1:12">
      <c r="A77" s="1" t="s">
        <v>3909</v>
      </c>
      <c r="B77" s="7">
        <v>34.76</v>
      </c>
      <c r="C77" s="7">
        <v>35.26</v>
      </c>
      <c r="D77" s="16">
        <f>(C77-B77)/B77</f>
        <v>1.4384349827387804E-2</v>
      </c>
      <c r="E77" s="9">
        <v>33.729999999999997</v>
      </c>
      <c r="F77" s="16">
        <f>(C77-E77)/E77</f>
        <v>4.5360213459828082E-2</v>
      </c>
      <c r="G77" s="40"/>
      <c r="H77" s="16"/>
      <c r="I77" s="16"/>
      <c r="J77" s="9"/>
      <c r="K77" s="9">
        <f t="shared" si="3"/>
        <v>0</v>
      </c>
      <c r="L77" s="16"/>
    </row>
    <row r="78" spans="1:12">
      <c r="A78" s="1" t="s">
        <v>3562</v>
      </c>
      <c r="B78" s="7">
        <v>35.119999999999997</v>
      </c>
      <c r="C78" s="7">
        <v>35.619999999999997</v>
      </c>
      <c r="D78" s="16">
        <f>(C78-B78)/B78</f>
        <v>1.4236902050113897E-2</v>
      </c>
      <c r="E78" s="9">
        <v>33.729999999999997</v>
      </c>
      <c r="F78" s="16">
        <f>(C78-E78)/E78</f>
        <v>5.603320486214055E-2</v>
      </c>
      <c r="G78" s="40"/>
      <c r="H78" s="16"/>
      <c r="I78" s="16"/>
      <c r="J78" s="9"/>
      <c r="K78" s="9">
        <f t="shared" si="3"/>
        <v>0</v>
      </c>
      <c r="L78" s="16"/>
    </row>
    <row r="79" spans="1:12">
      <c r="A79" s="1"/>
      <c r="B79" s="7"/>
      <c r="C79" s="7"/>
      <c r="D79" s="16"/>
      <c r="E79" s="9"/>
      <c r="F79" s="16"/>
      <c r="G79" s="40"/>
      <c r="H79" s="16"/>
      <c r="I79" s="16"/>
      <c r="J79" s="9"/>
      <c r="K79" s="9">
        <f t="shared" si="3"/>
        <v>0</v>
      </c>
      <c r="L79" s="16"/>
    </row>
    <row r="80" spans="1:12" ht="38.25">
      <c r="A80" s="2" t="s">
        <v>3563</v>
      </c>
      <c r="B80" s="12" t="s">
        <v>3564</v>
      </c>
      <c r="C80" s="31"/>
      <c r="D80" s="43"/>
      <c r="E80" s="44"/>
      <c r="F80" s="43"/>
      <c r="G80" s="23" t="s">
        <v>3983</v>
      </c>
      <c r="H80" s="43">
        <f>AVERAGE(F81:F83)</f>
        <v>4.7984644913627604E-2</v>
      </c>
      <c r="I80" s="43"/>
      <c r="J80" s="44"/>
      <c r="K80" s="9">
        <f t="shared" si="3"/>
        <v>0</v>
      </c>
      <c r="L80" s="43"/>
    </row>
    <row r="81" spans="1:12">
      <c r="A81" s="1" t="s">
        <v>3565</v>
      </c>
      <c r="B81" s="7">
        <v>54.38</v>
      </c>
      <c r="C81" s="7">
        <v>56.74</v>
      </c>
      <c r="D81" s="16">
        <f>(C81-B81)/B81</f>
        <v>4.3398308201544673E-2</v>
      </c>
      <c r="E81" s="9">
        <v>57.31</v>
      </c>
      <c r="F81" s="16">
        <f>(C81-E81)/E81</f>
        <v>-9.9459082184610061E-3</v>
      </c>
      <c r="G81" s="40"/>
      <c r="H81" s="16"/>
      <c r="I81" s="16"/>
      <c r="J81" s="9">
        <v>34.020000000000003</v>
      </c>
      <c r="K81" s="9">
        <f t="shared" si="3"/>
        <v>47.628</v>
      </c>
      <c r="L81" s="16">
        <f>(C81-K81)/K81</f>
        <v>0.1913160325858739</v>
      </c>
    </row>
    <row r="82" spans="1:12">
      <c r="A82" s="1" t="s">
        <v>3566</v>
      </c>
      <c r="B82" s="7">
        <v>57.68</v>
      </c>
      <c r="C82" s="7">
        <v>60.04</v>
      </c>
      <c r="D82" s="16">
        <f>(C82-B82)/B82</f>
        <v>4.0915395284327312E-2</v>
      </c>
      <c r="E82" s="9">
        <v>57.31</v>
      </c>
      <c r="F82" s="16">
        <f>(C82-E82)/E82</f>
        <v>4.7635665677892111E-2</v>
      </c>
      <c r="G82" s="40"/>
      <c r="H82" s="16"/>
      <c r="I82" s="16"/>
      <c r="J82" s="9">
        <v>34.020000000000003</v>
      </c>
      <c r="K82" s="9">
        <f t="shared" si="3"/>
        <v>47.628</v>
      </c>
      <c r="L82" s="16">
        <f t="shared" ref="L82:L83" si="4">(C82-K82)/K82</f>
        <v>0.26060300663475267</v>
      </c>
    </row>
    <row r="83" spans="1:12">
      <c r="A83" s="1" t="s">
        <v>3567</v>
      </c>
      <c r="B83" s="7">
        <v>61.04</v>
      </c>
      <c r="C83" s="7">
        <v>63.4</v>
      </c>
      <c r="D83" s="16">
        <f>(C83-B83)/B83</f>
        <v>3.8663171690694616E-2</v>
      </c>
      <c r="E83" s="9">
        <v>57.31</v>
      </c>
      <c r="F83" s="16">
        <f>(C83-E83)/E83</f>
        <v>0.10626417728145168</v>
      </c>
      <c r="G83" s="40"/>
      <c r="H83" s="16"/>
      <c r="I83" s="16"/>
      <c r="J83" s="9">
        <v>34.020000000000003</v>
      </c>
      <c r="K83" s="9">
        <f t="shared" si="3"/>
        <v>47.628</v>
      </c>
      <c r="L83" s="16">
        <f t="shared" si="4"/>
        <v>0.33114974384815649</v>
      </c>
    </row>
    <row r="84" spans="1:12">
      <c r="A84" s="143"/>
      <c r="B84" s="143"/>
      <c r="C84" s="7"/>
      <c r="D84" s="16"/>
      <c r="E84" s="9"/>
      <c r="F84" s="16"/>
      <c r="G84" s="40"/>
      <c r="H84" s="16"/>
      <c r="I84" s="16"/>
      <c r="J84" s="9"/>
      <c r="K84" s="9">
        <f t="shared" si="3"/>
        <v>0</v>
      </c>
      <c r="L84" s="16"/>
    </row>
    <row r="85" spans="1:12" ht="25.5" customHeight="1">
      <c r="A85" s="2" t="s">
        <v>3568</v>
      </c>
      <c r="B85" s="147" t="s">
        <v>3510</v>
      </c>
      <c r="C85" s="147" t="s">
        <v>3510</v>
      </c>
      <c r="D85" s="43"/>
      <c r="E85" s="44"/>
      <c r="F85" s="43"/>
      <c r="G85" s="23" t="s">
        <v>3983</v>
      </c>
      <c r="H85" s="43">
        <f>AVERAGE(F87:F100)</f>
        <v>-2.4243648669124759E-3</v>
      </c>
      <c r="I85" s="43"/>
      <c r="J85" s="44"/>
      <c r="K85" s="9">
        <f t="shared" si="3"/>
        <v>0</v>
      </c>
      <c r="L85" s="43"/>
    </row>
    <row r="86" spans="1:12">
      <c r="A86" s="3" t="s">
        <v>3569</v>
      </c>
      <c r="B86" s="147"/>
      <c r="C86" s="147"/>
      <c r="D86" s="16"/>
      <c r="E86" s="9"/>
      <c r="F86" s="16"/>
      <c r="G86" s="40"/>
      <c r="H86" s="16"/>
      <c r="I86" s="16"/>
      <c r="J86" s="9"/>
      <c r="K86" s="9">
        <f t="shared" si="3"/>
        <v>0</v>
      </c>
      <c r="L86" s="16"/>
    </row>
    <row r="87" spans="1:12">
      <c r="A87" s="1" t="s">
        <v>3571</v>
      </c>
      <c r="B87" s="7">
        <v>25.66</v>
      </c>
      <c r="C87" s="7">
        <v>25.66</v>
      </c>
      <c r="D87" s="16">
        <f t="shared" ref="D87:D95" si="5">(C87-B87)/B87</f>
        <v>0</v>
      </c>
      <c r="E87" s="9">
        <v>30.46</v>
      </c>
      <c r="F87" s="16">
        <f t="shared" ref="F87:F95" si="6">(C87-E87)/E87</f>
        <v>-0.15758371634931059</v>
      </c>
      <c r="G87" s="40"/>
      <c r="H87" s="16"/>
      <c r="I87" s="16"/>
      <c r="J87" s="9">
        <v>17.89</v>
      </c>
      <c r="K87" s="9">
        <f t="shared" si="3"/>
        <v>25.045999999999999</v>
      </c>
      <c r="L87" s="16">
        <f>(C87-K87)/K87</f>
        <v>2.4514892597620411E-2</v>
      </c>
    </row>
    <row r="88" spans="1:12">
      <c r="A88" s="1" t="s">
        <v>3572</v>
      </c>
      <c r="B88" s="7">
        <v>27.16</v>
      </c>
      <c r="C88" s="7">
        <v>27.16</v>
      </c>
      <c r="D88" s="16">
        <f t="shared" si="5"/>
        <v>0</v>
      </c>
      <c r="E88" s="9">
        <v>30.46</v>
      </c>
      <c r="F88" s="16">
        <f t="shared" si="6"/>
        <v>-0.10833880499015104</v>
      </c>
      <c r="G88" s="40"/>
      <c r="H88" s="16"/>
      <c r="I88" s="16"/>
      <c r="J88" s="9">
        <v>17.89</v>
      </c>
      <c r="K88" s="9">
        <f t="shared" si="3"/>
        <v>25.045999999999999</v>
      </c>
      <c r="L88" s="16">
        <f t="shared" ref="L88:L100" si="7">(C88-K88)/K88</f>
        <v>8.4404695360536644E-2</v>
      </c>
    </row>
    <row r="89" spans="1:12">
      <c r="A89" s="1" t="s">
        <v>3573</v>
      </c>
      <c r="B89" s="7">
        <v>30.82</v>
      </c>
      <c r="C89" s="7">
        <v>30.82</v>
      </c>
      <c r="D89" s="16">
        <f t="shared" si="5"/>
        <v>0</v>
      </c>
      <c r="E89" s="9">
        <v>30.46</v>
      </c>
      <c r="F89" s="16">
        <f t="shared" si="6"/>
        <v>1.1818778726198274E-2</v>
      </c>
      <c r="G89" s="40"/>
      <c r="H89" s="16"/>
      <c r="I89" s="16"/>
      <c r="J89" s="9">
        <v>17.89</v>
      </c>
      <c r="K89" s="9">
        <f t="shared" si="3"/>
        <v>25.045999999999999</v>
      </c>
      <c r="L89" s="16">
        <f t="shared" si="7"/>
        <v>0.23053581410205226</v>
      </c>
    </row>
    <row r="90" spans="1:12">
      <c r="A90" s="1" t="s">
        <v>3574</v>
      </c>
      <c r="B90" s="7">
        <v>27.95</v>
      </c>
      <c r="C90" s="7">
        <v>27.95</v>
      </c>
      <c r="D90" s="16">
        <f t="shared" si="5"/>
        <v>0</v>
      </c>
      <c r="E90" s="9">
        <v>30.46</v>
      </c>
      <c r="F90" s="16">
        <f t="shared" si="6"/>
        <v>-8.2403151674327033E-2</v>
      </c>
      <c r="G90" s="40"/>
      <c r="H90" s="16"/>
      <c r="I90" s="16"/>
      <c r="J90" s="9">
        <v>17.89</v>
      </c>
      <c r="K90" s="9">
        <f t="shared" si="3"/>
        <v>25.045999999999999</v>
      </c>
      <c r="L90" s="16">
        <f t="shared" si="7"/>
        <v>0.11594665814900583</v>
      </c>
    </row>
    <row r="91" spans="1:12">
      <c r="A91" s="1" t="s">
        <v>3575</v>
      </c>
      <c r="B91" s="7">
        <v>30.92</v>
      </c>
      <c r="C91" s="7">
        <v>30.92</v>
      </c>
      <c r="D91" s="16">
        <f t="shared" si="5"/>
        <v>0</v>
      </c>
      <c r="E91" s="9">
        <v>30.46</v>
      </c>
      <c r="F91" s="16">
        <f t="shared" si="6"/>
        <v>1.5101772816808957E-2</v>
      </c>
      <c r="G91" s="40"/>
      <c r="H91" s="16"/>
      <c r="I91" s="16"/>
      <c r="J91" s="9">
        <v>17.89</v>
      </c>
      <c r="K91" s="9">
        <f t="shared" si="3"/>
        <v>25.045999999999999</v>
      </c>
      <c r="L91" s="16">
        <f t="shared" si="7"/>
        <v>0.23452846761958007</v>
      </c>
    </row>
    <row r="92" spans="1:12">
      <c r="A92" s="1" t="s">
        <v>3576</v>
      </c>
      <c r="B92" s="7">
        <v>31.07</v>
      </c>
      <c r="C92" s="7">
        <v>31.07</v>
      </c>
      <c r="D92" s="16">
        <f t="shared" si="5"/>
        <v>0</v>
      </c>
      <c r="E92" s="9">
        <v>30.46</v>
      </c>
      <c r="F92" s="16">
        <f t="shared" si="6"/>
        <v>2.0026263952724867E-2</v>
      </c>
      <c r="G92" s="40"/>
      <c r="H92" s="16"/>
      <c r="I92" s="16"/>
      <c r="J92" s="9">
        <v>17.89</v>
      </c>
      <c r="K92" s="9">
        <f t="shared" si="3"/>
        <v>25.045999999999999</v>
      </c>
      <c r="L92" s="16">
        <f t="shared" si="7"/>
        <v>0.24051744789587165</v>
      </c>
    </row>
    <row r="93" spans="1:12">
      <c r="A93" s="1" t="s">
        <v>3577</v>
      </c>
      <c r="B93" s="7">
        <v>31.32</v>
      </c>
      <c r="C93" s="7">
        <v>31.32</v>
      </c>
      <c r="D93" s="16">
        <f t="shared" si="5"/>
        <v>0</v>
      </c>
      <c r="E93" s="9">
        <v>30.46</v>
      </c>
      <c r="F93" s="16">
        <f t="shared" si="6"/>
        <v>2.8233749179251456E-2</v>
      </c>
      <c r="G93" s="40"/>
      <c r="H93" s="16"/>
      <c r="I93" s="16"/>
      <c r="J93" s="9">
        <v>17.89</v>
      </c>
      <c r="K93" s="9">
        <f t="shared" si="3"/>
        <v>25.045999999999999</v>
      </c>
      <c r="L93" s="16">
        <f t="shared" si="7"/>
        <v>0.25049908168969104</v>
      </c>
    </row>
    <row r="94" spans="1:12">
      <c r="A94" s="1" t="s">
        <v>3578</v>
      </c>
      <c r="B94" s="7">
        <v>32.57</v>
      </c>
      <c r="C94" s="7">
        <v>32.57</v>
      </c>
      <c r="D94" s="16">
        <f t="shared" si="5"/>
        <v>0</v>
      </c>
      <c r="E94" s="9">
        <v>30.46</v>
      </c>
      <c r="F94" s="16">
        <f t="shared" si="6"/>
        <v>6.9271175311884411E-2</v>
      </c>
      <c r="G94" s="40"/>
      <c r="H94" s="16"/>
      <c r="I94" s="16"/>
      <c r="J94" s="9">
        <v>17.89</v>
      </c>
      <c r="K94" s="9">
        <f t="shared" si="3"/>
        <v>25.045999999999999</v>
      </c>
      <c r="L94" s="16">
        <f t="shared" si="7"/>
        <v>0.30040725065878787</v>
      </c>
    </row>
    <row r="95" spans="1:12">
      <c r="A95" s="1" t="s">
        <v>3579</v>
      </c>
      <c r="B95" s="7">
        <v>31.62</v>
      </c>
      <c r="C95" s="7">
        <v>31.62</v>
      </c>
      <c r="D95" s="16">
        <f t="shared" si="5"/>
        <v>0</v>
      </c>
      <c r="E95" s="9">
        <v>30.46</v>
      </c>
      <c r="F95" s="16">
        <f t="shared" si="6"/>
        <v>3.8082731451083394E-2</v>
      </c>
      <c r="G95" s="40"/>
      <c r="H95" s="16"/>
      <c r="I95" s="16"/>
      <c r="J95" s="9">
        <v>17.89</v>
      </c>
      <c r="K95" s="9">
        <f t="shared" si="3"/>
        <v>25.045999999999999</v>
      </c>
      <c r="L95" s="16">
        <f t="shared" si="7"/>
        <v>0.26247704224227431</v>
      </c>
    </row>
    <row r="96" spans="1:12">
      <c r="A96" s="1" t="s">
        <v>3580</v>
      </c>
      <c r="B96" s="7"/>
      <c r="C96" s="7"/>
      <c r="D96" s="16"/>
      <c r="E96" s="9"/>
      <c r="F96" s="16"/>
      <c r="G96" s="40"/>
      <c r="H96" s="16"/>
      <c r="I96" s="16"/>
      <c r="J96" s="9"/>
      <c r="K96" s="9">
        <f t="shared" si="3"/>
        <v>0</v>
      </c>
      <c r="L96" s="16"/>
    </row>
    <row r="97" spans="1:12">
      <c r="A97" s="1" t="s">
        <v>3581</v>
      </c>
      <c r="B97" s="7">
        <v>31.62</v>
      </c>
      <c r="C97" s="7">
        <v>31.62</v>
      </c>
      <c r="D97" s="16">
        <f>(C97-B97)/B97</f>
        <v>0</v>
      </c>
      <c r="E97" s="9">
        <v>30.46</v>
      </c>
      <c r="F97" s="16">
        <f>(C97-E97)/E97</f>
        <v>3.8082731451083394E-2</v>
      </c>
      <c r="G97" s="40"/>
      <c r="H97" s="16"/>
      <c r="I97" s="16"/>
      <c r="J97" s="9">
        <v>17.89</v>
      </c>
      <c r="K97" s="9">
        <f t="shared" si="3"/>
        <v>25.045999999999999</v>
      </c>
      <c r="L97" s="16">
        <f t="shared" si="7"/>
        <v>0.26247704224227431</v>
      </c>
    </row>
    <row r="98" spans="1:12">
      <c r="A98" s="1" t="s">
        <v>3582</v>
      </c>
      <c r="B98" s="7">
        <v>31.32</v>
      </c>
      <c r="C98" s="7">
        <v>31.32</v>
      </c>
      <c r="D98" s="16">
        <f>(C98-B98)/B98</f>
        <v>0</v>
      </c>
      <c r="E98" s="9">
        <v>30.46</v>
      </c>
      <c r="F98" s="16">
        <f>(C98-E98)/E98</f>
        <v>2.8233749179251456E-2</v>
      </c>
      <c r="G98" s="40"/>
      <c r="H98" s="16"/>
      <c r="I98" s="16"/>
      <c r="J98" s="9">
        <v>17.89</v>
      </c>
      <c r="K98" s="9">
        <f t="shared" si="3"/>
        <v>25.045999999999999</v>
      </c>
      <c r="L98" s="16">
        <f t="shared" si="7"/>
        <v>0.25049908168969104</v>
      </c>
    </row>
    <row r="99" spans="1:12">
      <c r="A99" s="1" t="s">
        <v>3583</v>
      </c>
      <c r="B99" s="7">
        <v>30.97</v>
      </c>
      <c r="C99" s="7">
        <v>30.97</v>
      </c>
      <c r="D99" s="16">
        <f>(C99-B99)/B99</f>
        <v>0</v>
      </c>
      <c r="E99" s="9">
        <v>30.46</v>
      </c>
      <c r="F99" s="16">
        <f>(C99-E99)/E99</f>
        <v>1.6743269862114184E-2</v>
      </c>
      <c r="G99" s="40"/>
      <c r="H99" s="16"/>
      <c r="I99" s="16"/>
      <c r="J99" s="9">
        <v>17.89</v>
      </c>
      <c r="K99" s="9">
        <f t="shared" si="3"/>
        <v>25.045999999999999</v>
      </c>
      <c r="L99" s="16">
        <f t="shared" si="7"/>
        <v>0.23652479437834384</v>
      </c>
    </row>
    <row r="100" spans="1:12">
      <c r="A100" s="1" t="s">
        <v>3584</v>
      </c>
      <c r="B100" s="7">
        <v>32.020000000000003</v>
      </c>
      <c r="C100" s="7">
        <v>32.020000000000003</v>
      </c>
      <c r="D100" s="16">
        <f>(C100-B100)/B100</f>
        <v>0</v>
      </c>
      <c r="E100" s="9">
        <v>30.46</v>
      </c>
      <c r="F100" s="16">
        <f>(C100-E100)/E100</f>
        <v>5.1214707813526009E-2</v>
      </c>
      <c r="G100" s="40"/>
      <c r="H100" s="16"/>
      <c r="I100" s="16"/>
      <c r="J100" s="9">
        <v>17.89</v>
      </c>
      <c r="K100" s="9">
        <f t="shared" si="3"/>
        <v>25.045999999999999</v>
      </c>
      <c r="L100" s="16">
        <f t="shared" si="7"/>
        <v>0.27844765631238538</v>
      </c>
    </row>
    <row r="101" spans="1:12">
      <c r="A101" s="143"/>
      <c r="B101" s="143"/>
      <c r="C101" s="7"/>
      <c r="D101" s="16"/>
      <c r="E101" s="9"/>
      <c r="F101" s="16"/>
      <c r="G101" s="40"/>
      <c r="H101" s="16"/>
      <c r="I101" s="16"/>
      <c r="J101" s="9"/>
      <c r="K101" s="9">
        <f t="shared" si="3"/>
        <v>0</v>
      </c>
      <c r="L101" s="16"/>
    </row>
    <row r="102" spans="1:12" ht="38.25">
      <c r="A102" s="2" t="s">
        <v>3930</v>
      </c>
      <c r="B102" s="12" t="s">
        <v>3689</v>
      </c>
      <c r="C102" s="31"/>
      <c r="D102" s="43"/>
      <c r="E102" s="44"/>
      <c r="F102" s="43"/>
      <c r="G102" s="23" t="s">
        <v>3983</v>
      </c>
      <c r="H102" s="43">
        <f>AVERAGE(F103:F105)</f>
        <v>-7.6331395690213549E-4</v>
      </c>
      <c r="I102" s="43"/>
      <c r="J102" s="44"/>
      <c r="K102" s="9">
        <f t="shared" si="3"/>
        <v>0</v>
      </c>
      <c r="L102" s="43"/>
    </row>
    <row r="103" spans="1:12">
      <c r="A103" s="1" t="s">
        <v>3587</v>
      </c>
      <c r="B103" s="7">
        <v>57.06</v>
      </c>
      <c r="C103" s="7">
        <v>54.56</v>
      </c>
      <c r="D103" s="16">
        <f>(C103-B103)/B103</f>
        <v>-4.3813529617946018E-2</v>
      </c>
      <c r="E103" s="9">
        <v>56.77</v>
      </c>
      <c r="F103" s="16">
        <f>(C103-E103)/E103</f>
        <v>-3.8929011802008119E-2</v>
      </c>
      <c r="G103" s="40"/>
      <c r="H103" s="16"/>
      <c r="I103" s="16"/>
      <c r="J103" s="9"/>
      <c r="K103" s="9">
        <f t="shared" si="3"/>
        <v>0</v>
      </c>
      <c r="L103" s="16"/>
    </row>
    <row r="104" spans="1:12">
      <c r="A104" s="1" t="s">
        <v>3588</v>
      </c>
      <c r="B104" s="7">
        <v>59.56</v>
      </c>
      <c r="C104" s="7">
        <v>57.06</v>
      </c>
      <c r="D104" s="16">
        <f>(C104-B104)/B104</f>
        <v>-4.1974479516453993E-2</v>
      </c>
      <c r="E104" s="9">
        <v>56.77</v>
      </c>
      <c r="F104" s="16">
        <f>(C104-E104)/E104</f>
        <v>5.1083318654218625E-3</v>
      </c>
      <c r="G104" s="40"/>
      <c r="H104" s="16"/>
      <c r="I104" s="16"/>
      <c r="J104" s="9"/>
      <c r="K104" s="9">
        <f t="shared" si="3"/>
        <v>0</v>
      </c>
      <c r="L104" s="16"/>
    </row>
    <row r="105" spans="1:12">
      <c r="A105" s="1" t="s">
        <v>3589</v>
      </c>
      <c r="B105" s="7">
        <v>61.06</v>
      </c>
      <c r="C105" s="7">
        <v>58.56</v>
      </c>
      <c r="D105" s="16">
        <f>(C105-B105)/B105</f>
        <v>-4.0943334425155582E-2</v>
      </c>
      <c r="E105" s="9">
        <v>56.77</v>
      </c>
      <c r="F105" s="16">
        <f>(C105-E105)/E105</f>
        <v>3.1530738065879853E-2</v>
      </c>
      <c r="G105" s="40"/>
      <c r="H105" s="16"/>
      <c r="I105" s="16"/>
      <c r="J105" s="9"/>
      <c r="K105" s="9">
        <f t="shared" si="3"/>
        <v>0</v>
      </c>
      <c r="L105" s="16"/>
    </row>
    <row r="106" spans="1:12">
      <c r="A106" s="143"/>
      <c r="B106" s="143"/>
      <c r="C106" s="7"/>
      <c r="D106" s="16"/>
      <c r="E106" s="9"/>
      <c r="F106" s="16"/>
      <c r="G106" s="40"/>
      <c r="H106" s="16"/>
      <c r="I106" s="16"/>
      <c r="J106" s="9"/>
      <c r="K106" s="9">
        <f t="shared" si="3"/>
        <v>0</v>
      </c>
      <c r="L106" s="16"/>
    </row>
    <row r="107" spans="1:12">
      <c r="A107" s="143"/>
      <c r="B107" s="143"/>
      <c r="C107" s="7"/>
      <c r="D107" s="16"/>
      <c r="E107" s="9"/>
      <c r="F107" s="16"/>
      <c r="G107" s="40"/>
      <c r="H107" s="16"/>
      <c r="I107" s="16"/>
      <c r="J107" s="9"/>
      <c r="K107" s="9">
        <f t="shared" si="3"/>
        <v>0</v>
      </c>
      <c r="L107" s="16"/>
    </row>
    <row r="108" spans="1:12">
      <c r="A108" s="2" t="s">
        <v>3925</v>
      </c>
      <c r="B108" s="7"/>
      <c r="C108" s="31"/>
      <c r="D108" s="43"/>
      <c r="E108" s="44"/>
      <c r="F108" s="43"/>
      <c r="G108" s="23" t="s">
        <v>3984</v>
      </c>
      <c r="H108" s="43"/>
      <c r="I108" s="43">
        <f>AVERAGE(F109)</f>
        <v>0</v>
      </c>
      <c r="J108" s="44"/>
      <c r="K108" s="9">
        <f t="shared" si="3"/>
        <v>0</v>
      </c>
      <c r="L108" s="43"/>
    </row>
    <row r="109" spans="1:12">
      <c r="A109" s="1" t="s">
        <v>3591</v>
      </c>
      <c r="B109" s="7">
        <v>49.7</v>
      </c>
      <c r="C109" s="7">
        <v>14.8</v>
      </c>
      <c r="D109" s="16">
        <f>(C109-B109)/B109</f>
        <v>-0.70221327967806846</v>
      </c>
      <c r="E109" s="9">
        <v>14.8</v>
      </c>
      <c r="F109" s="16">
        <f>(C109-E109)/E109</f>
        <v>0</v>
      </c>
      <c r="G109" s="40"/>
      <c r="H109" s="16"/>
      <c r="I109" s="16"/>
      <c r="J109" s="9"/>
      <c r="K109" s="9">
        <f t="shared" si="3"/>
        <v>0</v>
      </c>
      <c r="L109" s="16"/>
    </row>
    <row r="110" spans="1:12">
      <c r="A110" s="1"/>
      <c r="B110" s="7"/>
      <c r="C110" s="7"/>
      <c r="D110" s="16"/>
      <c r="E110" s="9"/>
      <c r="F110" s="16"/>
      <c r="G110" s="40"/>
      <c r="H110" s="16"/>
      <c r="I110" s="16"/>
      <c r="J110" s="9"/>
      <c r="K110" s="9">
        <f t="shared" si="3"/>
        <v>0</v>
      </c>
      <c r="L110" s="16"/>
    </row>
    <row r="111" spans="1:12" ht="38.25">
      <c r="A111" s="2" t="s">
        <v>3942</v>
      </c>
      <c r="B111" s="12" t="s">
        <v>3951</v>
      </c>
      <c r="C111" s="12" t="s">
        <v>3951</v>
      </c>
      <c r="D111" s="43"/>
      <c r="E111" s="44"/>
      <c r="F111" s="43"/>
      <c r="G111" s="23" t="s">
        <v>3983</v>
      </c>
      <c r="H111" s="43">
        <f>AVERAGE(F113:F164)</f>
        <v>0.11284522330146328</v>
      </c>
      <c r="I111" s="43"/>
      <c r="J111" s="44"/>
      <c r="K111" s="9">
        <f t="shared" si="3"/>
        <v>0</v>
      </c>
      <c r="L111" s="43"/>
    </row>
    <row r="112" spans="1:12">
      <c r="A112" s="3" t="s">
        <v>3569</v>
      </c>
      <c r="B112" s="7"/>
      <c r="C112" s="7"/>
      <c r="D112" s="16"/>
      <c r="E112" s="9"/>
      <c r="F112" s="16"/>
      <c r="G112" s="40"/>
      <c r="H112" s="16"/>
      <c r="I112" s="16"/>
      <c r="J112" s="9"/>
      <c r="K112" s="9">
        <f t="shared" si="3"/>
        <v>0</v>
      </c>
      <c r="L112" s="16"/>
    </row>
    <row r="113" spans="1:12">
      <c r="A113" s="1" t="s">
        <v>3573</v>
      </c>
      <c r="B113" s="7">
        <v>41.33</v>
      </c>
      <c r="C113" s="7">
        <v>43.08</v>
      </c>
      <c r="D113" s="16">
        <f t="shared" ref="D113:D128" si="8">(C113-B113)/B113</f>
        <v>4.2342124364868138E-2</v>
      </c>
      <c r="E113" s="9">
        <v>45.85</v>
      </c>
      <c r="F113" s="16">
        <f t="shared" ref="F113:F128" si="9">(C113-E113)/E113</f>
        <v>-6.0414394765539871E-2</v>
      </c>
      <c r="G113" s="40"/>
      <c r="H113" s="16"/>
      <c r="I113" s="16"/>
      <c r="J113" s="9">
        <v>25.53</v>
      </c>
      <c r="K113" s="9">
        <f t="shared" si="3"/>
        <v>35.741999999999997</v>
      </c>
      <c r="L113" s="16">
        <f>(C113-K113)/K113</f>
        <v>0.20530468356555318</v>
      </c>
    </row>
    <row r="114" spans="1:12">
      <c r="A114" s="1" t="s">
        <v>3574</v>
      </c>
      <c r="B114" s="7">
        <v>44.09</v>
      </c>
      <c r="C114" s="7">
        <v>45.84</v>
      </c>
      <c r="D114" s="16">
        <f t="shared" si="8"/>
        <v>3.9691540031753229E-2</v>
      </c>
      <c r="E114" s="9">
        <v>45.85</v>
      </c>
      <c r="F114" s="16">
        <f t="shared" si="9"/>
        <v>-2.1810250817880066E-4</v>
      </c>
      <c r="G114" s="40"/>
      <c r="H114" s="16"/>
      <c r="I114" s="16"/>
      <c r="J114" s="9">
        <v>25.53</v>
      </c>
      <c r="K114" s="9">
        <f t="shared" si="3"/>
        <v>35.741999999999997</v>
      </c>
      <c r="L114" s="16">
        <f t="shared" ref="L114:L164" si="10">(C114-K114)/K114</f>
        <v>0.28252476078563055</v>
      </c>
    </row>
    <row r="115" spans="1:12">
      <c r="A115" s="1" t="s">
        <v>3575</v>
      </c>
      <c r="B115" s="7">
        <v>44.62</v>
      </c>
      <c r="C115" s="7">
        <v>46.37</v>
      </c>
      <c r="D115" s="16">
        <f t="shared" si="8"/>
        <v>3.9220080681308833E-2</v>
      </c>
      <c r="E115" s="9">
        <v>45.85</v>
      </c>
      <c r="F115" s="16">
        <f t="shared" si="9"/>
        <v>1.1341330425299804E-2</v>
      </c>
      <c r="G115" s="40"/>
      <c r="H115" s="16"/>
      <c r="I115" s="16"/>
      <c r="J115" s="9">
        <v>25.53</v>
      </c>
      <c r="K115" s="9">
        <f t="shared" si="3"/>
        <v>35.741999999999997</v>
      </c>
      <c r="L115" s="16">
        <f t="shared" si="10"/>
        <v>0.29735325387499301</v>
      </c>
    </row>
    <row r="116" spans="1:12">
      <c r="A116" s="1" t="s">
        <v>3576</v>
      </c>
      <c r="B116" s="7">
        <v>44.89</v>
      </c>
      <c r="C116" s="7">
        <v>46.64</v>
      </c>
      <c r="D116" s="16">
        <f t="shared" si="8"/>
        <v>3.8984183559812875E-2</v>
      </c>
      <c r="E116" s="9">
        <v>45.85</v>
      </c>
      <c r="F116" s="16">
        <f t="shared" si="9"/>
        <v>1.7230098146128661E-2</v>
      </c>
      <c r="G116" s="40"/>
      <c r="H116" s="16"/>
      <c r="I116" s="16"/>
      <c r="J116" s="9">
        <v>25.53</v>
      </c>
      <c r="K116" s="9">
        <f t="shared" si="3"/>
        <v>35.741999999999997</v>
      </c>
      <c r="L116" s="16">
        <f t="shared" si="10"/>
        <v>0.30490739186391369</v>
      </c>
    </row>
    <row r="117" spans="1:12">
      <c r="A117" s="1" t="s">
        <v>3577</v>
      </c>
      <c r="B117" s="7">
        <v>45.63</v>
      </c>
      <c r="C117" s="7">
        <v>47.38</v>
      </c>
      <c r="D117" s="16">
        <f t="shared" si="8"/>
        <v>3.8351961428884501E-2</v>
      </c>
      <c r="E117" s="9">
        <v>45.85</v>
      </c>
      <c r="F117" s="16">
        <f t="shared" si="9"/>
        <v>3.3369683751363163E-2</v>
      </c>
      <c r="G117" s="40"/>
      <c r="H117" s="16"/>
      <c r="I117" s="16"/>
      <c r="J117" s="9">
        <v>25.53</v>
      </c>
      <c r="K117" s="9">
        <f t="shared" si="3"/>
        <v>35.741999999999997</v>
      </c>
      <c r="L117" s="16">
        <f t="shared" si="10"/>
        <v>0.32561132561132577</v>
      </c>
    </row>
    <row r="118" spans="1:12">
      <c r="A118" s="1" t="s">
        <v>3579</v>
      </c>
      <c r="B118" s="7">
        <v>45.93</v>
      </c>
      <c r="C118" s="7">
        <v>47.68</v>
      </c>
      <c r="D118" s="16">
        <f t="shared" si="8"/>
        <v>3.8101458741563246E-2</v>
      </c>
      <c r="E118" s="9">
        <v>45.85</v>
      </c>
      <c r="F118" s="16">
        <f t="shared" si="9"/>
        <v>3.9912758996728422E-2</v>
      </c>
      <c r="G118" s="40"/>
      <c r="H118" s="16"/>
      <c r="I118" s="16"/>
      <c r="J118" s="9">
        <v>25.53</v>
      </c>
      <c r="K118" s="9">
        <f t="shared" si="3"/>
        <v>35.741999999999997</v>
      </c>
      <c r="L118" s="16">
        <f t="shared" si="10"/>
        <v>0.33400481226568191</v>
      </c>
    </row>
    <row r="119" spans="1:12">
      <c r="A119" s="1" t="s">
        <v>3580</v>
      </c>
      <c r="B119" s="7">
        <v>46.1</v>
      </c>
      <c r="C119" s="7">
        <v>47.85</v>
      </c>
      <c r="D119" s="16">
        <f t="shared" si="8"/>
        <v>3.7960954446854663E-2</v>
      </c>
      <c r="E119" s="9">
        <v>45.85</v>
      </c>
      <c r="F119" s="16">
        <f t="shared" si="9"/>
        <v>4.3620501635768812E-2</v>
      </c>
      <c r="G119" s="40"/>
      <c r="H119" s="16"/>
      <c r="I119" s="16"/>
      <c r="J119" s="9">
        <v>25.53</v>
      </c>
      <c r="K119" s="9">
        <f t="shared" si="3"/>
        <v>35.741999999999997</v>
      </c>
      <c r="L119" s="16">
        <f t="shared" si="10"/>
        <v>0.33876112136981718</v>
      </c>
    </row>
    <row r="120" spans="1:12">
      <c r="A120" s="1" t="s">
        <v>3593</v>
      </c>
      <c r="B120" s="7">
        <v>46.35</v>
      </c>
      <c r="C120" s="7">
        <v>48.1</v>
      </c>
      <c r="D120" s="16">
        <f t="shared" si="8"/>
        <v>3.7756202804746494E-2</v>
      </c>
      <c r="E120" s="9">
        <v>45.85</v>
      </c>
      <c r="F120" s="16">
        <f t="shared" si="9"/>
        <v>4.9073064340239912E-2</v>
      </c>
      <c r="G120" s="40"/>
      <c r="H120" s="16"/>
      <c r="I120" s="16"/>
      <c r="J120" s="9">
        <v>25.53</v>
      </c>
      <c r="K120" s="9">
        <f t="shared" si="3"/>
        <v>35.741999999999997</v>
      </c>
      <c r="L120" s="16">
        <f t="shared" si="10"/>
        <v>0.34575569358178065</v>
      </c>
    </row>
    <row r="121" spans="1:12">
      <c r="A121" s="1" t="s">
        <v>3594</v>
      </c>
      <c r="B121" s="7">
        <v>46.94</v>
      </c>
      <c r="C121" s="7">
        <v>48.69</v>
      </c>
      <c r="D121" s="16">
        <f t="shared" si="8"/>
        <v>3.7281636131231359E-2</v>
      </c>
      <c r="E121" s="9">
        <v>45.85</v>
      </c>
      <c r="F121" s="16">
        <f t="shared" si="9"/>
        <v>6.1941112322791626E-2</v>
      </c>
      <c r="G121" s="40"/>
      <c r="H121" s="16"/>
      <c r="I121" s="16"/>
      <c r="J121" s="9">
        <v>25.53</v>
      </c>
      <c r="K121" s="9">
        <f t="shared" si="3"/>
        <v>35.741999999999997</v>
      </c>
      <c r="L121" s="16">
        <f t="shared" si="10"/>
        <v>0.36226288400201445</v>
      </c>
    </row>
    <row r="122" spans="1:12">
      <c r="A122" s="1" t="s">
        <v>3595</v>
      </c>
      <c r="B122" s="7">
        <v>47.26</v>
      </c>
      <c r="C122" s="7">
        <v>49.01</v>
      </c>
      <c r="D122" s="16">
        <f t="shared" si="8"/>
        <v>3.7029200169276348E-2</v>
      </c>
      <c r="E122" s="9">
        <v>45.85</v>
      </c>
      <c r="F122" s="16">
        <f t="shared" si="9"/>
        <v>6.8920392584514642E-2</v>
      </c>
      <c r="G122" s="40"/>
      <c r="H122" s="16"/>
      <c r="I122" s="16"/>
      <c r="J122" s="9">
        <v>25.53</v>
      </c>
      <c r="K122" s="9">
        <f t="shared" si="3"/>
        <v>35.741999999999997</v>
      </c>
      <c r="L122" s="16">
        <f t="shared" si="10"/>
        <v>0.37121593643332779</v>
      </c>
    </row>
    <row r="123" spans="1:12">
      <c r="A123" s="1" t="s">
        <v>3596</v>
      </c>
      <c r="B123" s="7">
        <v>47.61</v>
      </c>
      <c r="C123" s="7">
        <v>49.36</v>
      </c>
      <c r="D123" s="16">
        <f t="shared" si="8"/>
        <v>3.6756983826927117E-2</v>
      </c>
      <c r="E123" s="9">
        <v>45.85</v>
      </c>
      <c r="F123" s="16">
        <f t="shared" si="9"/>
        <v>7.6553980370774224E-2</v>
      </c>
      <c r="G123" s="40"/>
      <c r="H123" s="16"/>
      <c r="I123" s="16"/>
      <c r="J123" s="9">
        <v>25.53</v>
      </c>
      <c r="K123" s="9">
        <f t="shared" si="3"/>
        <v>35.741999999999997</v>
      </c>
      <c r="L123" s="16">
        <f t="shared" si="10"/>
        <v>0.38100833753007673</v>
      </c>
    </row>
    <row r="124" spans="1:12">
      <c r="A124" s="1" t="s">
        <v>3597</v>
      </c>
      <c r="B124" s="7">
        <v>47.8</v>
      </c>
      <c r="C124" s="7">
        <v>49.55</v>
      </c>
      <c r="D124" s="16">
        <f t="shared" si="8"/>
        <v>3.6610878661087871E-2</v>
      </c>
      <c r="E124" s="9">
        <v>45.85</v>
      </c>
      <c r="F124" s="16">
        <f t="shared" si="9"/>
        <v>8.0697928026172205E-2</v>
      </c>
      <c r="G124" s="40"/>
      <c r="H124" s="16"/>
      <c r="I124" s="16"/>
      <c r="J124" s="9">
        <v>25.53</v>
      </c>
      <c r="K124" s="9">
        <f t="shared" si="3"/>
        <v>35.741999999999997</v>
      </c>
      <c r="L124" s="16">
        <f t="shared" si="10"/>
        <v>0.38632421241116893</v>
      </c>
    </row>
    <row r="125" spans="1:12">
      <c r="A125" s="1" t="s">
        <v>3598</v>
      </c>
      <c r="B125" s="7">
        <v>48.04</v>
      </c>
      <c r="C125" s="7">
        <v>49.79</v>
      </c>
      <c r="D125" s="16">
        <f t="shared" si="8"/>
        <v>3.6427976686094925E-2</v>
      </c>
      <c r="E125" s="9">
        <v>45.85</v>
      </c>
      <c r="F125" s="16">
        <f t="shared" si="9"/>
        <v>8.5932388222464504E-2</v>
      </c>
      <c r="G125" s="40"/>
      <c r="H125" s="16"/>
      <c r="I125" s="16"/>
      <c r="J125" s="9">
        <v>25.53</v>
      </c>
      <c r="K125" s="9">
        <f t="shared" si="3"/>
        <v>35.741999999999997</v>
      </c>
      <c r="L125" s="16">
        <f t="shared" si="10"/>
        <v>0.393039001734654</v>
      </c>
    </row>
    <row r="126" spans="1:12">
      <c r="A126" s="1" t="s">
        <v>3599</v>
      </c>
      <c r="B126" s="7">
        <v>49.68</v>
      </c>
      <c r="C126" s="7">
        <v>51.43</v>
      </c>
      <c r="D126" s="16">
        <f t="shared" si="8"/>
        <v>3.5225442834138483E-2</v>
      </c>
      <c r="E126" s="9">
        <v>45.85</v>
      </c>
      <c r="F126" s="16">
        <f t="shared" si="9"/>
        <v>0.12170119956379494</v>
      </c>
      <c r="G126" s="40"/>
      <c r="H126" s="16"/>
      <c r="I126" s="16"/>
      <c r="J126" s="9">
        <v>25.53</v>
      </c>
      <c r="K126" s="9">
        <f t="shared" si="3"/>
        <v>35.741999999999997</v>
      </c>
      <c r="L126" s="16">
        <f t="shared" si="10"/>
        <v>0.4389233954451347</v>
      </c>
    </row>
    <row r="127" spans="1:12">
      <c r="A127" s="1" t="s">
        <v>3600</v>
      </c>
      <c r="B127" s="7">
        <v>50.49</v>
      </c>
      <c r="C127" s="7">
        <v>52.24</v>
      </c>
      <c r="D127" s="16">
        <f t="shared" si="8"/>
        <v>3.4660328777975834E-2</v>
      </c>
      <c r="E127" s="9">
        <v>45.85</v>
      </c>
      <c r="F127" s="16">
        <f t="shared" si="9"/>
        <v>0.13936750272628137</v>
      </c>
      <c r="G127" s="40"/>
      <c r="H127" s="16"/>
      <c r="I127" s="16"/>
      <c r="J127" s="9">
        <v>25.53</v>
      </c>
      <c r="K127" s="9">
        <f t="shared" si="3"/>
        <v>35.741999999999997</v>
      </c>
      <c r="L127" s="16">
        <f t="shared" si="10"/>
        <v>0.46158580941189653</v>
      </c>
    </row>
    <row r="128" spans="1:12">
      <c r="A128" s="1" t="s">
        <v>3601</v>
      </c>
      <c r="B128" s="7">
        <v>49.68</v>
      </c>
      <c r="C128" s="7">
        <v>51.43</v>
      </c>
      <c r="D128" s="16">
        <f t="shared" si="8"/>
        <v>3.5225442834138483E-2</v>
      </c>
      <c r="E128" s="9">
        <v>45.85</v>
      </c>
      <c r="F128" s="16">
        <f t="shared" si="9"/>
        <v>0.12170119956379494</v>
      </c>
      <c r="G128" s="40"/>
      <c r="H128" s="16"/>
      <c r="I128" s="16"/>
      <c r="J128" s="9">
        <v>25.53</v>
      </c>
      <c r="K128" s="9">
        <f t="shared" si="3"/>
        <v>35.741999999999997</v>
      </c>
      <c r="L128" s="16">
        <f t="shared" si="10"/>
        <v>0.4389233954451347</v>
      </c>
    </row>
    <row r="129" spans="1:12">
      <c r="A129" s="1" t="s">
        <v>3602</v>
      </c>
      <c r="B129" s="11" t="s">
        <v>3534</v>
      </c>
      <c r="C129" s="7"/>
      <c r="D129" s="16"/>
      <c r="E129" s="9"/>
      <c r="F129" s="16"/>
      <c r="G129" s="40"/>
      <c r="H129" s="16"/>
      <c r="I129" s="16"/>
      <c r="J129" s="9"/>
      <c r="K129" s="9">
        <f t="shared" si="3"/>
        <v>0</v>
      </c>
      <c r="L129" s="16"/>
    </row>
    <row r="130" spans="1:12">
      <c r="A130" s="1" t="s">
        <v>3603</v>
      </c>
      <c r="B130" s="11" t="s">
        <v>3534</v>
      </c>
      <c r="C130" s="7"/>
      <c r="D130" s="16"/>
      <c r="E130" s="9"/>
      <c r="F130" s="16"/>
      <c r="G130" s="40"/>
      <c r="H130" s="16"/>
      <c r="I130" s="16"/>
      <c r="J130" s="9"/>
      <c r="K130" s="9">
        <f t="shared" si="3"/>
        <v>0</v>
      </c>
      <c r="L130" s="16"/>
    </row>
    <row r="131" spans="1:12">
      <c r="A131" s="143"/>
      <c r="B131" s="143"/>
      <c r="C131" s="7"/>
      <c r="D131" s="16"/>
      <c r="E131" s="9"/>
      <c r="F131" s="16"/>
      <c r="G131" s="40"/>
      <c r="H131" s="16"/>
      <c r="I131" s="16"/>
      <c r="J131" s="9"/>
      <c r="K131" s="9">
        <f t="shared" si="3"/>
        <v>0</v>
      </c>
      <c r="L131" s="16"/>
    </row>
    <row r="132" spans="1:12" ht="25.5" customHeight="1">
      <c r="A132" s="2" t="s">
        <v>3691</v>
      </c>
      <c r="B132" s="147" t="s">
        <v>3510</v>
      </c>
      <c r="C132" s="147" t="s">
        <v>3510</v>
      </c>
      <c r="D132" s="16"/>
      <c r="E132" s="9"/>
      <c r="F132" s="16"/>
      <c r="G132" s="40"/>
      <c r="H132" s="16"/>
      <c r="I132" s="16"/>
      <c r="J132" s="9"/>
      <c r="K132" s="9">
        <f t="shared" si="3"/>
        <v>0</v>
      </c>
      <c r="L132" s="16"/>
    </row>
    <row r="133" spans="1:12">
      <c r="A133" s="3" t="s">
        <v>3569</v>
      </c>
      <c r="B133" s="147"/>
      <c r="C133" s="147"/>
      <c r="D133" s="16"/>
      <c r="E133" s="9"/>
      <c r="F133" s="16"/>
      <c r="G133" s="40"/>
      <c r="H133" s="16"/>
      <c r="I133" s="16"/>
      <c r="J133" s="9"/>
      <c r="K133" s="9">
        <f t="shared" si="3"/>
        <v>0</v>
      </c>
      <c r="L133" s="16"/>
    </row>
    <row r="134" spans="1:12">
      <c r="A134" s="1" t="s">
        <v>3573</v>
      </c>
      <c r="B134" s="7">
        <v>56.63</v>
      </c>
      <c r="C134" s="7">
        <v>58.38</v>
      </c>
      <c r="D134" s="16">
        <f t="shared" ref="D134:D146" si="11">(C134-B134)/B134</f>
        <v>3.0902348578491962E-2</v>
      </c>
      <c r="E134" s="9">
        <v>45.85</v>
      </c>
      <c r="F134" s="16">
        <f t="shared" ref="F134:F146" si="12">(C134-E134)/E134</f>
        <v>0.2732824427480916</v>
      </c>
      <c r="G134" s="40"/>
      <c r="H134" s="16"/>
      <c r="I134" s="16"/>
      <c r="J134" s="9">
        <v>25.53</v>
      </c>
      <c r="K134" s="9">
        <f t="shared" si="3"/>
        <v>35.741999999999997</v>
      </c>
      <c r="L134" s="16">
        <f t="shared" si="10"/>
        <v>0.63337250293772052</v>
      </c>
    </row>
    <row r="135" spans="1:12">
      <c r="A135" s="1" t="s">
        <v>3605</v>
      </c>
      <c r="B135" s="7">
        <v>50.46</v>
      </c>
      <c r="C135" s="7">
        <v>52.21</v>
      </c>
      <c r="D135" s="16">
        <f t="shared" si="11"/>
        <v>3.4680935394371781E-2</v>
      </c>
      <c r="E135" s="9">
        <v>45.85</v>
      </c>
      <c r="F135" s="16">
        <f t="shared" si="12"/>
        <v>0.1387131952017448</v>
      </c>
      <c r="G135" s="40"/>
      <c r="H135" s="16"/>
      <c r="I135" s="16"/>
      <c r="J135" s="9">
        <v>25.53</v>
      </c>
      <c r="K135" s="9">
        <f t="shared" si="3"/>
        <v>35.741999999999997</v>
      </c>
      <c r="L135" s="16">
        <f t="shared" si="10"/>
        <v>0.46074646074646086</v>
      </c>
    </row>
    <row r="136" spans="1:12">
      <c r="A136" s="1" t="s">
        <v>3606</v>
      </c>
      <c r="B136" s="7">
        <v>48.5</v>
      </c>
      <c r="C136" s="7">
        <v>50.25</v>
      </c>
      <c r="D136" s="16">
        <f t="shared" si="11"/>
        <v>3.608247422680412E-2</v>
      </c>
      <c r="E136" s="9">
        <v>45.85</v>
      </c>
      <c r="F136" s="16">
        <f t="shared" si="12"/>
        <v>9.5965103598691356E-2</v>
      </c>
      <c r="G136" s="40"/>
      <c r="H136" s="16"/>
      <c r="I136" s="16"/>
      <c r="J136" s="9">
        <v>25.53</v>
      </c>
      <c r="K136" s="9">
        <f t="shared" si="3"/>
        <v>35.741999999999997</v>
      </c>
      <c r="L136" s="16">
        <f t="shared" si="10"/>
        <v>0.40590901460466688</v>
      </c>
    </row>
    <row r="137" spans="1:12">
      <c r="A137" s="1" t="s">
        <v>3575</v>
      </c>
      <c r="B137" s="7">
        <v>55.12</v>
      </c>
      <c r="C137" s="7">
        <v>56.87</v>
      </c>
      <c r="D137" s="16">
        <f t="shared" si="11"/>
        <v>3.17489114658926E-2</v>
      </c>
      <c r="E137" s="9">
        <v>45.85</v>
      </c>
      <c r="F137" s="16">
        <f t="shared" si="12"/>
        <v>0.24034896401308606</v>
      </c>
      <c r="G137" s="40"/>
      <c r="H137" s="16"/>
      <c r="I137" s="16"/>
      <c r="J137" s="9">
        <v>25.53</v>
      </c>
      <c r="K137" s="9">
        <f t="shared" si="3"/>
        <v>35.741999999999997</v>
      </c>
      <c r="L137" s="16">
        <f t="shared" si="10"/>
        <v>0.59112528677746079</v>
      </c>
    </row>
    <row r="138" spans="1:12">
      <c r="A138" s="1" t="s">
        <v>3607</v>
      </c>
      <c r="B138" s="7">
        <v>50.21</v>
      </c>
      <c r="C138" s="7">
        <v>51.96</v>
      </c>
      <c r="D138" s="16">
        <f t="shared" si="11"/>
        <v>3.4853614817765388E-2</v>
      </c>
      <c r="E138" s="9">
        <v>45.85</v>
      </c>
      <c r="F138" s="16">
        <f t="shared" si="12"/>
        <v>0.13326063249727371</v>
      </c>
      <c r="G138" s="40"/>
      <c r="H138" s="16"/>
      <c r="I138" s="16"/>
      <c r="J138" s="9">
        <v>25.53</v>
      </c>
      <c r="K138" s="9">
        <f t="shared" si="3"/>
        <v>35.741999999999997</v>
      </c>
      <c r="L138" s="16">
        <f t="shared" si="10"/>
        <v>0.45375188853449738</v>
      </c>
    </row>
    <row r="139" spans="1:12">
      <c r="A139" s="1" t="s">
        <v>3608</v>
      </c>
      <c r="B139" s="7">
        <v>48.29</v>
      </c>
      <c r="C139" s="7">
        <v>50.04</v>
      </c>
      <c r="D139" s="16">
        <f t="shared" si="11"/>
        <v>3.6239387036653553E-2</v>
      </c>
      <c r="E139" s="9">
        <v>45.85</v>
      </c>
      <c r="F139" s="16">
        <f t="shared" si="12"/>
        <v>9.1384950926935604E-2</v>
      </c>
      <c r="G139" s="40"/>
      <c r="H139" s="16"/>
      <c r="I139" s="16"/>
      <c r="J139" s="9">
        <v>25.53</v>
      </c>
      <c r="K139" s="9">
        <f t="shared" ref="K139:K202" si="13">J139*1.4</f>
        <v>35.741999999999997</v>
      </c>
      <c r="L139" s="16">
        <f t="shared" si="10"/>
        <v>0.40003357394661748</v>
      </c>
    </row>
    <row r="140" spans="1:12">
      <c r="A140" s="1" t="s">
        <v>3576</v>
      </c>
      <c r="B140" s="7">
        <v>53.88</v>
      </c>
      <c r="C140" s="7">
        <v>55.63</v>
      </c>
      <c r="D140" s="16">
        <f t="shared" si="11"/>
        <v>3.2479584261321456E-2</v>
      </c>
      <c r="E140" s="9">
        <v>45.85</v>
      </c>
      <c r="F140" s="16">
        <f t="shared" si="12"/>
        <v>0.21330425299890951</v>
      </c>
      <c r="G140" s="40"/>
      <c r="H140" s="16"/>
      <c r="I140" s="16"/>
      <c r="J140" s="9">
        <v>25.53</v>
      </c>
      <c r="K140" s="9">
        <f t="shared" si="13"/>
        <v>35.741999999999997</v>
      </c>
      <c r="L140" s="16">
        <f t="shared" si="10"/>
        <v>0.55643220860612186</v>
      </c>
    </row>
    <row r="141" spans="1:12">
      <c r="A141" s="1" t="s">
        <v>3609</v>
      </c>
      <c r="B141" s="7">
        <v>49.99</v>
      </c>
      <c r="C141" s="7">
        <v>51.74</v>
      </c>
      <c r="D141" s="16">
        <f t="shared" si="11"/>
        <v>3.5007001400280055E-2</v>
      </c>
      <c r="E141" s="9">
        <v>45.85</v>
      </c>
      <c r="F141" s="16">
        <f t="shared" si="12"/>
        <v>0.12846237731733917</v>
      </c>
      <c r="G141" s="40"/>
      <c r="H141" s="16"/>
      <c r="I141" s="16"/>
      <c r="J141" s="9">
        <v>25.53</v>
      </c>
      <c r="K141" s="9">
        <f t="shared" si="13"/>
        <v>35.741999999999997</v>
      </c>
      <c r="L141" s="16">
        <f t="shared" si="10"/>
        <v>0.44759666498796952</v>
      </c>
    </row>
    <row r="142" spans="1:12">
      <c r="A142" s="1" t="s">
        <v>3610</v>
      </c>
      <c r="B142" s="7">
        <v>48.07</v>
      </c>
      <c r="C142" s="7">
        <v>49.82</v>
      </c>
      <c r="D142" s="16">
        <f t="shared" si="11"/>
        <v>3.6405242354899107E-2</v>
      </c>
      <c r="E142" s="9">
        <v>45.85</v>
      </c>
      <c r="F142" s="16">
        <f t="shared" si="12"/>
        <v>8.6586695747001063E-2</v>
      </c>
      <c r="G142" s="40"/>
      <c r="H142" s="16"/>
      <c r="I142" s="16"/>
      <c r="J142" s="9">
        <v>25.53</v>
      </c>
      <c r="K142" s="9">
        <f t="shared" si="13"/>
        <v>35.741999999999997</v>
      </c>
      <c r="L142" s="16">
        <f t="shared" si="10"/>
        <v>0.39387835040008962</v>
      </c>
    </row>
    <row r="143" spans="1:12">
      <c r="A143" s="1" t="s">
        <v>3611</v>
      </c>
      <c r="B143" s="7">
        <v>49.66</v>
      </c>
      <c r="C143" s="7">
        <v>51.41</v>
      </c>
      <c r="D143" s="16">
        <f t="shared" si="11"/>
        <v>3.5239629480467181E-2</v>
      </c>
      <c r="E143" s="9">
        <v>45.85</v>
      </c>
      <c r="F143" s="16">
        <f t="shared" si="12"/>
        <v>0.12126499454743718</v>
      </c>
      <c r="G143" s="40"/>
      <c r="H143" s="16"/>
      <c r="I143" s="16"/>
      <c r="J143" s="9">
        <v>25.53</v>
      </c>
      <c r="K143" s="9">
        <f t="shared" si="13"/>
        <v>35.741999999999997</v>
      </c>
      <c r="L143" s="16">
        <f t="shared" si="10"/>
        <v>0.4383638296681775</v>
      </c>
    </row>
    <row r="144" spans="1:12">
      <c r="A144" s="1" t="s">
        <v>3577</v>
      </c>
      <c r="B144" s="7">
        <v>52.15</v>
      </c>
      <c r="C144" s="7">
        <v>53.9</v>
      </c>
      <c r="D144" s="16">
        <f t="shared" si="11"/>
        <v>3.3557046979865772E-2</v>
      </c>
      <c r="E144" s="9">
        <v>45.85</v>
      </c>
      <c r="F144" s="16">
        <f t="shared" si="12"/>
        <v>0.1755725190839694</v>
      </c>
      <c r="G144" s="40"/>
      <c r="H144" s="16"/>
      <c r="I144" s="16"/>
      <c r="J144" s="9">
        <v>25.53</v>
      </c>
      <c r="K144" s="9">
        <f t="shared" si="13"/>
        <v>35.741999999999997</v>
      </c>
      <c r="L144" s="16">
        <f t="shared" si="10"/>
        <v>0.50802976889933416</v>
      </c>
    </row>
    <row r="145" spans="1:12">
      <c r="A145" s="1" t="s">
        <v>3579</v>
      </c>
      <c r="B145" s="7">
        <v>51.05</v>
      </c>
      <c r="C145" s="7">
        <v>52.8</v>
      </c>
      <c r="D145" s="16">
        <f t="shared" si="11"/>
        <v>3.4280117531831543E-2</v>
      </c>
      <c r="E145" s="9">
        <v>45.85</v>
      </c>
      <c r="F145" s="16">
        <f t="shared" si="12"/>
        <v>0.15158124318429653</v>
      </c>
      <c r="G145" s="40"/>
      <c r="H145" s="16"/>
      <c r="I145" s="16"/>
      <c r="J145" s="9">
        <v>25.53</v>
      </c>
      <c r="K145" s="9">
        <f t="shared" si="13"/>
        <v>35.741999999999997</v>
      </c>
      <c r="L145" s="16">
        <f t="shared" si="10"/>
        <v>0.47725365116669466</v>
      </c>
    </row>
    <row r="146" spans="1:12">
      <c r="A146" s="1" t="s">
        <v>3602</v>
      </c>
      <c r="B146" s="7">
        <v>52.15</v>
      </c>
      <c r="C146" s="7">
        <v>52.15</v>
      </c>
      <c r="D146" s="16">
        <f t="shared" si="11"/>
        <v>0</v>
      </c>
      <c r="E146" s="9">
        <v>45.85</v>
      </c>
      <c r="F146" s="16">
        <f t="shared" si="12"/>
        <v>0.13740458015267168</v>
      </c>
      <c r="G146" s="40"/>
      <c r="H146" s="16"/>
      <c r="I146" s="16"/>
      <c r="J146" s="9">
        <v>25.53</v>
      </c>
      <c r="K146" s="9">
        <f t="shared" si="13"/>
        <v>35.741999999999997</v>
      </c>
      <c r="L146" s="16">
        <f t="shared" si="10"/>
        <v>0.45906776341558958</v>
      </c>
    </row>
    <row r="147" spans="1:12">
      <c r="A147" s="1" t="s">
        <v>3612</v>
      </c>
      <c r="B147" s="7"/>
      <c r="C147" s="7"/>
      <c r="D147" s="16"/>
      <c r="E147" s="9"/>
      <c r="F147" s="16"/>
      <c r="G147" s="40"/>
      <c r="H147" s="16"/>
      <c r="I147" s="16"/>
      <c r="J147" s="9"/>
      <c r="K147" s="9">
        <f t="shared" si="13"/>
        <v>0</v>
      </c>
      <c r="L147" s="16"/>
    </row>
    <row r="148" spans="1:12">
      <c r="A148" s="143"/>
      <c r="B148" s="143"/>
      <c r="C148" s="7"/>
      <c r="D148" s="16"/>
      <c r="E148" s="9"/>
      <c r="F148" s="16"/>
      <c r="G148" s="40"/>
      <c r="H148" s="16"/>
      <c r="I148" s="16"/>
      <c r="J148" s="9"/>
      <c r="K148" s="9">
        <f t="shared" si="13"/>
        <v>0</v>
      </c>
      <c r="L148" s="16"/>
    </row>
    <row r="149" spans="1:12" ht="25.5" customHeight="1">
      <c r="A149" s="2" t="s">
        <v>3693</v>
      </c>
      <c r="B149" s="148" t="s">
        <v>3690</v>
      </c>
      <c r="C149" s="148" t="s">
        <v>3690</v>
      </c>
      <c r="D149" s="16"/>
      <c r="E149" s="9"/>
      <c r="F149" s="16"/>
      <c r="G149" s="40"/>
      <c r="H149" s="16"/>
      <c r="I149" s="16"/>
      <c r="J149" s="9"/>
      <c r="K149" s="9">
        <f t="shared" si="13"/>
        <v>0</v>
      </c>
      <c r="L149" s="16"/>
    </row>
    <row r="150" spans="1:12">
      <c r="A150" s="3" t="s">
        <v>3569</v>
      </c>
      <c r="B150" s="148"/>
      <c r="C150" s="148"/>
      <c r="D150" s="16"/>
      <c r="E150" s="9"/>
      <c r="F150" s="16"/>
      <c r="G150" s="40"/>
      <c r="H150" s="16"/>
      <c r="I150" s="16"/>
      <c r="J150" s="9"/>
      <c r="K150" s="9">
        <f t="shared" si="13"/>
        <v>0</v>
      </c>
      <c r="L150" s="16"/>
    </row>
    <row r="151" spans="1:12">
      <c r="A151" s="1" t="s">
        <v>3573</v>
      </c>
      <c r="B151" s="7">
        <v>56.1</v>
      </c>
      <c r="C151" s="7">
        <v>57.85</v>
      </c>
      <c r="D151" s="16">
        <f t="shared" ref="D151:D164" si="14">(C151-B151)/B151</f>
        <v>3.1194295900178252E-2</v>
      </c>
      <c r="E151" s="9">
        <v>45.85</v>
      </c>
      <c r="F151" s="16">
        <f t="shared" ref="F151:F164" si="15">(C151-E151)/E151</f>
        <v>0.26172300981461288</v>
      </c>
      <c r="G151" s="40"/>
      <c r="H151" s="16"/>
      <c r="I151" s="16"/>
      <c r="J151" s="9">
        <v>25.53</v>
      </c>
      <c r="K151" s="9">
        <f t="shared" si="13"/>
        <v>35.741999999999997</v>
      </c>
      <c r="L151" s="16">
        <f t="shared" si="10"/>
        <v>0.61854400984835789</v>
      </c>
    </row>
    <row r="152" spans="1:12">
      <c r="A152" s="1" t="s">
        <v>3605</v>
      </c>
      <c r="B152" s="7">
        <v>50.64</v>
      </c>
      <c r="C152" s="7">
        <v>52.39</v>
      </c>
      <c r="D152" s="16">
        <f t="shared" si="14"/>
        <v>3.4557661927330174E-2</v>
      </c>
      <c r="E152" s="9">
        <v>45.85</v>
      </c>
      <c r="F152" s="16">
        <f t="shared" si="15"/>
        <v>0.14263904034896399</v>
      </c>
      <c r="G152" s="40"/>
      <c r="H152" s="16"/>
      <c r="I152" s="16"/>
      <c r="J152" s="9">
        <v>25.53</v>
      </c>
      <c r="K152" s="9">
        <f t="shared" si="13"/>
        <v>35.741999999999997</v>
      </c>
      <c r="L152" s="16">
        <f t="shared" si="10"/>
        <v>0.4657825527390746</v>
      </c>
    </row>
    <row r="153" spans="1:12">
      <c r="A153" s="1" t="s">
        <v>3606</v>
      </c>
      <c r="B153" s="7">
        <v>48.72</v>
      </c>
      <c r="C153" s="7">
        <v>50.47</v>
      </c>
      <c r="D153" s="16">
        <f t="shared" si="14"/>
        <v>3.5919540229885055E-2</v>
      </c>
      <c r="E153" s="9">
        <v>45.85</v>
      </c>
      <c r="F153" s="16">
        <f t="shared" si="15"/>
        <v>0.1007633587786259</v>
      </c>
      <c r="G153" s="40"/>
      <c r="H153" s="16"/>
      <c r="I153" s="16"/>
      <c r="J153" s="9">
        <v>25.53</v>
      </c>
      <c r="K153" s="9">
        <f t="shared" si="13"/>
        <v>35.741999999999997</v>
      </c>
      <c r="L153" s="16">
        <f t="shared" si="10"/>
        <v>0.41206423815119475</v>
      </c>
    </row>
    <row r="154" spans="1:12">
      <c r="A154" s="1" t="s">
        <v>3575</v>
      </c>
      <c r="B154" s="7">
        <v>54.56</v>
      </c>
      <c r="C154" s="7">
        <v>56.31</v>
      </c>
      <c r="D154" s="16">
        <f t="shared" si="14"/>
        <v>3.2074780058651026E-2</v>
      </c>
      <c r="E154" s="9">
        <v>45.85</v>
      </c>
      <c r="F154" s="16">
        <f t="shared" si="15"/>
        <v>0.2281352235550709</v>
      </c>
      <c r="G154" s="40"/>
      <c r="H154" s="16"/>
      <c r="I154" s="16"/>
      <c r="J154" s="9">
        <v>25.53</v>
      </c>
      <c r="K154" s="9">
        <f t="shared" si="13"/>
        <v>35.741999999999997</v>
      </c>
      <c r="L154" s="16">
        <f t="shared" si="10"/>
        <v>0.57545744502266261</v>
      </c>
    </row>
    <row r="155" spans="1:12">
      <c r="A155" s="1" t="s">
        <v>3607</v>
      </c>
      <c r="B155" s="7">
        <v>50.43</v>
      </c>
      <c r="C155" s="7">
        <v>52.18</v>
      </c>
      <c r="D155" s="16">
        <f t="shared" si="14"/>
        <v>3.4701566527860397E-2</v>
      </c>
      <c r="E155" s="9">
        <v>45.85</v>
      </c>
      <c r="F155" s="16">
        <f t="shared" si="15"/>
        <v>0.13805888767720825</v>
      </c>
      <c r="G155" s="40"/>
      <c r="H155" s="16"/>
      <c r="I155" s="16"/>
      <c r="J155" s="9">
        <v>25.53</v>
      </c>
      <c r="K155" s="9">
        <f t="shared" si="13"/>
        <v>35.741999999999997</v>
      </c>
      <c r="L155" s="16">
        <f t="shared" si="10"/>
        <v>0.45990711208102525</v>
      </c>
    </row>
    <row r="156" spans="1:12">
      <c r="A156" s="1" t="s">
        <v>3608</v>
      </c>
      <c r="B156" s="7">
        <v>48.52</v>
      </c>
      <c r="C156" s="7">
        <v>50.27</v>
      </c>
      <c r="D156" s="16">
        <f t="shared" si="14"/>
        <v>3.6067600989282765E-2</v>
      </c>
      <c r="E156" s="9">
        <v>45.85</v>
      </c>
      <c r="F156" s="16">
        <f t="shared" si="15"/>
        <v>9.6401308615049114E-2</v>
      </c>
      <c r="G156" s="40"/>
      <c r="H156" s="16"/>
      <c r="I156" s="16"/>
      <c r="J156" s="9">
        <v>25.53</v>
      </c>
      <c r="K156" s="9">
        <f t="shared" si="13"/>
        <v>35.741999999999997</v>
      </c>
      <c r="L156" s="16">
        <f t="shared" si="10"/>
        <v>0.40646858038162403</v>
      </c>
    </row>
    <row r="157" spans="1:12">
      <c r="A157" s="1" t="s">
        <v>3576</v>
      </c>
      <c r="B157" s="7">
        <v>53.11</v>
      </c>
      <c r="C157" s="7">
        <v>54.86</v>
      </c>
      <c r="D157" s="16">
        <f t="shared" si="14"/>
        <v>3.2950480135567693E-2</v>
      </c>
      <c r="E157" s="9">
        <v>45.85</v>
      </c>
      <c r="F157" s="16">
        <f t="shared" si="15"/>
        <v>0.19651035986913845</v>
      </c>
      <c r="G157" s="40"/>
      <c r="H157" s="16"/>
      <c r="I157" s="16"/>
      <c r="J157" s="9">
        <v>25.53</v>
      </c>
      <c r="K157" s="9">
        <f t="shared" si="13"/>
        <v>35.741999999999997</v>
      </c>
      <c r="L157" s="16">
        <f t="shared" si="10"/>
        <v>0.53488892619327411</v>
      </c>
    </row>
    <row r="158" spans="1:12">
      <c r="A158" s="1" t="s">
        <v>3609</v>
      </c>
      <c r="B158" s="7">
        <v>50.21</v>
      </c>
      <c r="C158" s="7">
        <v>51.96</v>
      </c>
      <c r="D158" s="16">
        <f t="shared" si="14"/>
        <v>3.4853614817765388E-2</v>
      </c>
      <c r="E158" s="9">
        <v>45.85</v>
      </c>
      <c r="F158" s="16">
        <f t="shared" si="15"/>
        <v>0.13326063249727371</v>
      </c>
      <c r="G158" s="40"/>
      <c r="H158" s="16"/>
      <c r="I158" s="16"/>
      <c r="J158" s="9">
        <v>25.53</v>
      </c>
      <c r="K158" s="9">
        <f t="shared" si="13"/>
        <v>35.741999999999997</v>
      </c>
      <c r="L158" s="16">
        <f t="shared" si="10"/>
        <v>0.45375188853449738</v>
      </c>
    </row>
    <row r="159" spans="1:12">
      <c r="A159" s="1" t="s">
        <v>3610</v>
      </c>
      <c r="B159" s="7">
        <v>48.29</v>
      </c>
      <c r="C159" s="7">
        <v>50.04</v>
      </c>
      <c r="D159" s="16">
        <f t="shared" si="14"/>
        <v>3.6239387036653553E-2</v>
      </c>
      <c r="E159" s="9">
        <v>45.85</v>
      </c>
      <c r="F159" s="16">
        <f t="shared" si="15"/>
        <v>9.1384950926935604E-2</v>
      </c>
      <c r="G159" s="40"/>
      <c r="H159" s="16"/>
      <c r="I159" s="16"/>
      <c r="J159" s="9">
        <v>25.53</v>
      </c>
      <c r="K159" s="9">
        <f t="shared" si="13"/>
        <v>35.741999999999997</v>
      </c>
      <c r="L159" s="16">
        <f t="shared" si="10"/>
        <v>0.40003357394661748</v>
      </c>
    </row>
    <row r="160" spans="1:12">
      <c r="A160" s="1" t="s">
        <v>3577</v>
      </c>
      <c r="B160" s="7">
        <v>51.6</v>
      </c>
      <c r="C160" s="7">
        <v>53.35</v>
      </c>
      <c r="D160" s="16">
        <f t="shared" si="14"/>
        <v>3.391472868217054E-2</v>
      </c>
      <c r="E160" s="9">
        <v>45.85</v>
      </c>
      <c r="F160" s="16">
        <f t="shared" si="15"/>
        <v>0.16357688113413305</v>
      </c>
      <c r="G160" s="40"/>
      <c r="H160" s="16"/>
      <c r="I160" s="16"/>
      <c r="J160" s="9">
        <v>25.53</v>
      </c>
      <c r="K160" s="9">
        <f t="shared" si="13"/>
        <v>35.741999999999997</v>
      </c>
      <c r="L160" s="16">
        <f t="shared" si="10"/>
        <v>0.49264171003301455</v>
      </c>
    </row>
    <row r="161" spans="1:12">
      <c r="A161" s="1" t="s">
        <v>3579</v>
      </c>
      <c r="B161" s="7">
        <v>50.49</v>
      </c>
      <c r="C161" s="7">
        <v>52.24</v>
      </c>
      <c r="D161" s="16">
        <f t="shared" si="14"/>
        <v>3.4660328777975834E-2</v>
      </c>
      <c r="E161" s="9">
        <v>45.85</v>
      </c>
      <c r="F161" s="16">
        <f t="shared" si="15"/>
        <v>0.13936750272628137</v>
      </c>
      <c r="G161" s="40"/>
      <c r="H161" s="16"/>
      <c r="I161" s="16"/>
      <c r="J161" s="9">
        <v>25.53</v>
      </c>
      <c r="K161" s="9">
        <f t="shared" si="13"/>
        <v>35.741999999999997</v>
      </c>
      <c r="L161" s="16">
        <f t="shared" si="10"/>
        <v>0.46158580941189653</v>
      </c>
    </row>
    <row r="162" spans="1:12">
      <c r="A162" s="1" t="s">
        <v>3580</v>
      </c>
      <c r="B162" s="7">
        <v>49.38</v>
      </c>
      <c r="C162" s="7">
        <v>51.13</v>
      </c>
      <c r="D162" s="16">
        <f t="shared" si="14"/>
        <v>3.5439449169704332E-2</v>
      </c>
      <c r="E162" s="9">
        <v>45.85</v>
      </c>
      <c r="F162" s="16">
        <f t="shared" si="15"/>
        <v>0.11515812431842969</v>
      </c>
      <c r="G162" s="40"/>
      <c r="H162" s="16"/>
      <c r="I162" s="16"/>
      <c r="J162" s="9">
        <v>25.53</v>
      </c>
      <c r="K162" s="9">
        <f t="shared" si="13"/>
        <v>35.741999999999997</v>
      </c>
      <c r="L162" s="16">
        <f t="shared" si="10"/>
        <v>0.43052990879077851</v>
      </c>
    </row>
    <row r="163" spans="1:12">
      <c r="A163" s="1" t="s">
        <v>3593</v>
      </c>
      <c r="B163" s="7">
        <v>48.42</v>
      </c>
      <c r="C163" s="7">
        <v>50.17</v>
      </c>
      <c r="D163" s="16">
        <f t="shared" si="14"/>
        <v>3.6142090045435768E-2</v>
      </c>
      <c r="E163" s="9">
        <v>45.85</v>
      </c>
      <c r="F163" s="16">
        <f t="shared" si="15"/>
        <v>9.4220283533260632E-2</v>
      </c>
      <c r="G163" s="40"/>
      <c r="H163" s="16"/>
      <c r="I163" s="16"/>
      <c r="J163" s="9">
        <v>25.53</v>
      </c>
      <c r="K163" s="9">
        <f t="shared" si="13"/>
        <v>35.741999999999997</v>
      </c>
      <c r="L163" s="16">
        <f t="shared" si="10"/>
        <v>0.40367075149683862</v>
      </c>
    </row>
    <row r="164" spans="1:12">
      <c r="A164" s="1" t="s">
        <v>3594</v>
      </c>
      <c r="B164" s="7">
        <v>47.46</v>
      </c>
      <c r="C164" s="7">
        <v>49.21</v>
      </c>
      <c r="D164" s="16">
        <f t="shared" si="14"/>
        <v>3.687315634218289E-2</v>
      </c>
      <c r="E164" s="9">
        <v>45.85</v>
      </c>
      <c r="F164" s="16">
        <f t="shared" si="15"/>
        <v>7.3282442748091592E-2</v>
      </c>
      <c r="G164" s="40"/>
      <c r="H164" s="16"/>
      <c r="I164" s="16"/>
      <c r="J164" s="9">
        <v>25.53</v>
      </c>
      <c r="K164" s="9">
        <f t="shared" si="13"/>
        <v>35.741999999999997</v>
      </c>
      <c r="L164" s="16">
        <f t="shared" si="10"/>
        <v>0.37681159420289867</v>
      </c>
    </row>
    <row r="165" spans="1:12">
      <c r="A165" s="1" t="s">
        <v>3614</v>
      </c>
      <c r="B165" s="11" t="s">
        <v>3534</v>
      </c>
      <c r="C165" s="7"/>
      <c r="D165" s="16"/>
      <c r="E165" s="9"/>
      <c r="F165" s="16"/>
      <c r="G165" s="40"/>
      <c r="H165" s="16"/>
      <c r="I165" s="16"/>
      <c r="J165" s="9"/>
      <c r="K165" s="9">
        <f t="shared" si="13"/>
        <v>0</v>
      </c>
      <c r="L165" s="16"/>
    </row>
    <row r="166" spans="1:12">
      <c r="A166" s="1" t="s">
        <v>3615</v>
      </c>
      <c r="B166" s="11" t="s">
        <v>3534</v>
      </c>
      <c r="C166" s="11" t="s">
        <v>3534</v>
      </c>
      <c r="D166" s="16"/>
      <c r="E166" s="9"/>
      <c r="F166" s="16"/>
      <c r="G166" s="40"/>
      <c r="H166" s="16"/>
      <c r="I166" s="16"/>
      <c r="J166" s="9"/>
      <c r="K166" s="9">
        <f t="shared" si="13"/>
        <v>0</v>
      </c>
      <c r="L166" s="16"/>
    </row>
    <row r="167" spans="1:12">
      <c r="A167" s="1"/>
      <c r="B167" s="7"/>
      <c r="C167" s="7"/>
      <c r="D167" s="16"/>
      <c r="E167" s="9"/>
      <c r="F167" s="16"/>
      <c r="G167" s="40"/>
      <c r="H167" s="16"/>
      <c r="I167" s="16"/>
      <c r="J167" s="9"/>
      <c r="K167" s="9">
        <f t="shared" si="13"/>
        <v>0</v>
      </c>
      <c r="L167" s="16"/>
    </row>
    <row r="168" spans="1:12">
      <c r="A168" s="143"/>
      <c r="B168" s="143"/>
      <c r="C168" s="7"/>
      <c r="D168" s="16"/>
      <c r="E168" s="9"/>
      <c r="F168" s="16"/>
      <c r="G168" s="40"/>
      <c r="H168" s="16"/>
      <c r="I168" s="16"/>
      <c r="J168" s="9"/>
      <c r="K168" s="9">
        <f t="shared" si="13"/>
        <v>0</v>
      </c>
      <c r="L168" s="16"/>
    </row>
    <row r="169" spans="1:12" ht="12.75" customHeight="1">
      <c r="A169" s="144" t="s">
        <v>3616</v>
      </c>
      <c r="B169" s="144"/>
      <c r="C169" s="31"/>
      <c r="D169" s="43"/>
      <c r="E169" s="44"/>
      <c r="F169" s="43"/>
      <c r="G169" s="23" t="s">
        <v>3983</v>
      </c>
      <c r="H169" s="43">
        <f>AVERAGE(F170:F177)</f>
        <v>1.2876506024096363E-2</v>
      </c>
      <c r="I169" s="43"/>
      <c r="J169" s="44"/>
      <c r="K169" s="9">
        <f t="shared" si="13"/>
        <v>0</v>
      </c>
      <c r="L169" s="43"/>
    </row>
    <row r="170" spans="1:12">
      <c r="A170" s="1" t="s">
        <v>3617</v>
      </c>
      <c r="B170" s="7">
        <v>32.74</v>
      </c>
      <c r="C170" s="7">
        <v>32.74</v>
      </c>
      <c r="D170" s="16">
        <f t="shared" ref="D170:D177" si="16">(C170-B170)/B170</f>
        <v>0</v>
      </c>
      <c r="E170" s="9">
        <v>33.200000000000003</v>
      </c>
      <c r="F170" s="16">
        <f t="shared" ref="F170:F177" si="17">(C170-E170)/E170</f>
        <v>-1.3855421686747013E-2</v>
      </c>
      <c r="G170" s="40"/>
      <c r="H170" s="16"/>
      <c r="I170" s="16"/>
      <c r="J170" s="9">
        <v>18.739999999999998</v>
      </c>
      <c r="K170" s="9">
        <f t="shared" si="13"/>
        <v>26.235999999999997</v>
      </c>
      <c r="L170" s="16">
        <f>(C170-K170)/K170</f>
        <v>0.24790364384814781</v>
      </c>
    </row>
    <row r="171" spans="1:12">
      <c r="A171" s="1" t="s">
        <v>3618</v>
      </c>
      <c r="B171" s="7">
        <v>33.590000000000003</v>
      </c>
      <c r="C171" s="7">
        <v>33.590000000000003</v>
      </c>
      <c r="D171" s="16">
        <f t="shared" si="16"/>
        <v>0</v>
      </c>
      <c r="E171" s="9">
        <v>33.200000000000003</v>
      </c>
      <c r="F171" s="16">
        <f t="shared" si="17"/>
        <v>1.1746987951807245E-2</v>
      </c>
      <c r="G171" s="40"/>
      <c r="H171" s="16"/>
      <c r="I171" s="16"/>
      <c r="J171" s="9">
        <v>18.739999999999998</v>
      </c>
      <c r="K171" s="9">
        <f t="shared" si="13"/>
        <v>26.235999999999997</v>
      </c>
      <c r="L171" s="16">
        <f t="shared" ref="L171:L177" si="18">(C171-K171)/K171</f>
        <v>0.28030187528586703</v>
      </c>
    </row>
    <row r="172" spans="1:12">
      <c r="A172" s="1" t="s">
        <v>3619</v>
      </c>
      <c r="B172" s="7">
        <v>33.24</v>
      </c>
      <c r="C172" s="7">
        <v>33.24</v>
      </c>
      <c r="D172" s="16">
        <f t="shared" si="16"/>
        <v>0</v>
      </c>
      <c r="E172" s="9">
        <v>33.200000000000003</v>
      </c>
      <c r="F172" s="16">
        <f t="shared" si="17"/>
        <v>1.204819277108408E-3</v>
      </c>
      <c r="G172" s="40"/>
      <c r="H172" s="16"/>
      <c r="I172" s="16"/>
      <c r="J172" s="9">
        <v>18.739999999999998</v>
      </c>
      <c r="K172" s="9">
        <f t="shared" si="13"/>
        <v>26.235999999999997</v>
      </c>
      <c r="L172" s="16">
        <f t="shared" si="18"/>
        <v>0.26696142704680614</v>
      </c>
    </row>
    <row r="173" spans="1:12">
      <c r="A173" s="1" t="s">
        <v>3620</v>
      </c>
      <c r="B173" s="7">
        <v>33.74</v>
      </c>
      <c r="C173" s="7">
        <v>33.74</v>
      </c>
      <c r="D173" s="16">
        <f t="shared" si="16"/>
        <v>0</v>
      </c>
      <c r="E173" s="9">
        <v>33.200000000000003</v>
      </c>
      <c r="F173" s="16">
        <f t="shared" si="17"/>
        <v>1.626506024096383E-2</v>
      </c>
      <c r="G173" s="40"/>
      <c r="H173" s="16"/>
      <c r="I173" s="16"/>
      <c r="J173" s="9">
        <v>18.739999999999998</v>
      </c>
      <c r="K173" s="9">
        <f t="shared" si="13"/>
        <v>26.235999999999997</v>
      </c>
      <c r="L173" s="16">
        <f t="shared" si="18"/>
        <v>0.28601921024546445</v>
      </c>
    </row>
    <row r="174" spans="1:12">
      <c r="A174" s="1" t="s">
        <v>3621</v>
      </c>
      <c r="B174" s="7">
        <v>34.74</v>
      </c>
      <c r="C174" s="7">
        <v>34.74</v>
      </c>
      <c r="D174" s="16">
        <f t="shared" si="16"/>
        <v>0</v>
      </c>
      <c r="E174" s="9">
        <v>33.200000000000003</v>
      </c>
      <c r="F174" s="16">
        <f t="shared" si="17"/>
        <v>4.6385542168674666E-2</v>
      </c>
      <c r="G174" s="40"/>
      <c r="H174" s="16"/>
      <c r="I174" s="16"/>
      <c r="J174" s="9">
        <v>18.739999999999998</v>
      </c>
      <c r="K174" s="9">
        <f t="shared" si="13"/>
        <v>26.235999999999997</v>
      </c>
      <c r="L174" s="16">
        <f t="shared" si="18"/>
        <v>0.32413477664278112</v>
      </c>
    </row>
    <row r="175" spans="1:12">
      <c r="A175" s="1" t="s">
        <v>3622</v>
      </c>
      <c r="B175" s="7">
        <v>33.24</v>
      </c>
      <c r="C175" s="7">
        <v>33.24</v>
      </c>
      <c r="D175" s="16">
        <f t="shared" si="16"/>
        <v>0</v>
      </c>
      <c r="E175" s="9">
        <v>33.200000000000003</v>
      </c>
      <c r="F175" s="16">
        <f t="shared" si="17"/>
        <v>1.204819277108408E-3</v>
      </c>
      <c r="G175" s="40"/>
      <c r="H175" s="16"/>
      <c r="I175" s="16"/>
      <c r="J175" s="9">
        <v>18.739999999999998</v>
      </c>
      <c r="K175" s="9">
        <f t="shared" si="13"/>
        <v>26.235999999999997</v>
      </c>
      <c r="L175" s="16">
        <f t="shared" si="18"/>
        <v>0.26696142704680614</v>
      </c>
    </row>
    <row r="176" spans="1:12">
      <c r="A176" s="1" t="s">
        <v>3623</v>
      </c>
      <c r="B176" s="7">
        <v>33.74</v>
      </c>
      <c r="C176" s="7">
        <v>33.74</v>
      </c>
      <c r="D176" s="16">
        <f t="shared" si="16"/>
        <v>0</v>
      </c>
      <c r="E176" s="9">
        <v>33.200000000000003</v>
      </c>
      <c r="F176" s="16">
        <f t="shared" si="17"/>
        <v>1.626506024096383E-2</v>
      </c>
      <c r="G176" s="40"/>
      <c r="H176" s="16"/>
      <c r="I176" s="16"/>
      <c r="J176" s="9">
        <v>18.739999999999998</v>
      </c>
      <c r="K176" s="9">
        <f t="shared" si="13"/>
        <v>26.235999999999997</v>
      </c>
      <c r="L176" s="16">
        <f t="shared" si="18"/>
        <v>0.28601921024546445</v>
      </c>
    </row>
    <row r="177" spans="1:12">
      <c r="A177" s="1" t="s">
        <v>3624</v>
      </c>
      <c r="B177" s="7">
        <v>33.99</v>
      </c>
      <c r="C177" s="7">
        <v>33.99</v>
      </c>
      <c r="D177" s="16">
        <f t="shared" si="16"/>
        <v>0</v>
      </c>
      <c r="E177" s="9">
        <v>33.200000000000003</v>
      </c>
      <c r="F177" s="16">
        <f t="shared" si="17"/>
        <v>2.3795180722891537E-2</v>
      </c>
      <c r="G177" s="40"/>
      <c r="H177" s="16"/>
      <c r="I177" s="16"/>
      <c r="J177" s="9">
        <v>18.739999999999998</v>
      </c>
      <c r="K177" s="9">
        <f t="shared" si="13"/>
        <v>26.235999999999997</v>
      </c>
      <c r="L177" s="16">
        <f t="shared" si="18"/>
        <v>0.29554810184479363</v>
      </c>
    </row>
    <row r="178" spans="1:12" ht="63.75">
      <c r="A178" s="1" t="s">
        <v>3601</v>
      </c>
      <c r="B178" s="7" t="s">
        <v>3625</v>
      </c>
      <c r="C178" s="7" t="s">
        <v>3625</v>
      </c>
      <c r="D178" s="16"/>
      <c r="E178" s="9"/>
      <c r="F178" s="16"/>
      <c r="G178" s="40"/>
      <c r="H178" s="16"/>
      <c r="I178" s="16"/>
      <c r="J178" s="9"/>
      <c r="K178" s="9">
        <f t="shared" si="13"/>
        <v>0</v>
      </c>
      <c r="L178" s="16"/>
    </row>
    <row r="179" spans="1:12">
      <c r="A179" s="1"/>
      <c r="B179" s="7"/>
      <c r="C179" s="7"/>
      <c r="D179" s="16"/>
      <c r="E179" s="9"/>
      <c r="F179" s="16"/>
      <c r="G179" s="40"/>
      <c r="H179" s="16"/>
      <c r="I179" s="16"/>
      <c r="J179" s="9"/>
      <c r="K179" s="9">
        <f t="shared" si="13"/>
        <v>0</v>
      </c>
      <c r="L179" s="16"/>
    </row>
    <row r="180" spans="1:12">
      <c r="A180" s="143"/>
      <c r="B180" s="143"/>
      <c r="C180" s="7"/>
      <c r="D180" s="16"/>
      <c r="E180" s="9"/>
      <c r="F180" s="16"/>
      <c r="G180" s="40"/>
      <c r="H180" s="16"/>
      <c r="I180" s="16"/>
      <c r="J180" s="9"/>
      <c r="K180" s="9">
        <f t="shared" si="13"/>
        <v>0</v>
      </c>
      <c r="L180" s="16"/>
    </row>
    <row r="181" spans="1:12">
      <c r="A181" s="2" t="s">
        <v>3626</v>
      </c>
      <c r="B181" s="7"/>
      <c r="C181" s="7"/>
      <c r="D181" s="16"/>
      <c r="E181" s="9"/>
      <c r="F181" s="16"/>
      <c r="G181" s="23" t="s">
        <v>3983</v>
      </c>
      <c r="H181" s="16"/>
      <c r="I181" s="16"/>
      <c r="J181" s="9"/>
      <c r="K181" s="9">
        <f t="shared" si="13"/>
        <v>0</v>
      </c>
      <c r="L181" s="16"/>
    </row>
    <row r="182" spans="1:12">
      <c r="A182" s="1" t="s">
        <v>3627</v>
      </c>
      <c r="B182" s="7">
        <v>58.47</v>
      </c>
      <c r="C182" s="7">
        <v>58.47</v>
      </c>
      <c r="D182" s="16">
        <f>(C182-B182)/B182</f>
        <v>0</v>
      </c>
      <c r="E182" s="9"/>
      <c r="F182" s="16"/>
      <c r="G182" s="40"/>
      <c r="H182" s="16"/>
      <c r="I182" s="16"/>
      <c r="J182" s="9"/>
      <c r="K182" s="9">
        <f t="shared" si="13"/>
        <v>0</v>
      </c>
      <c r="L182" s="16"/>
    </row>
    <row r="183" spans="1:12">
      <c r="A183" s="1" t="s">
        <v>3628</v>
      </c>
      <c r="B183" s="7">
        <v>62.05</v>
      </c>
      <c r="C183" s="7">
        <v>62.05</v>
      </c>
      <c r="D183" s="16">
        <f>(C183-B183)/B183</f>
        <v>0</v>
      </c>
      <c r="E183" s="9"/>
      <c r="F183" s="16"/>
      <c r="G183" s="40"/>
      <c r="H183" s="16"/>
      <c r="I183" s="16"/>
      <c r="J183" s="9"/>
      <c r="K183" s="9">
        <f t="shared" si="13"/>
        <v>0</v>
      </c>
      <c r="L183" s="16"/>
    </row>
    <row r="184" spans="1:12">
      <c r="A184" s="143"/>
      <c r="B184" s="143"/>
      <c r="C184" s="7"/>
      <c r="D184" s="16"/>
      <c r="E184" s="9"/>
      <c r="F184" s="16"/>
      <c r="G184" s="40"/>
      <c r="H184" s="16"/>
      <c r="I184" s="16"/>
      <c r="J184" s="9"/>
      <c r="K184" s="9">
        <f t="shared" si="13"/>
        <v>0</v>
      </c>
      <c r="L184" s="16"/>
    </row>
    <row r="185" spans="1:12" ht="38.25">
      <c r="A185" s="2" t="s">
        <v>3874</v>
      </c>
      <c r="B185" s="12" t="s">
        <v>3510</v>
      </c>
      <c r="C185" s="12" t="s">
        <v>3510</v>
      </c>
      <c r="D185" s="43"/>
      <c r="E185" s="44"/>
      <c r="F185" s="43"/>
      <c r="G185" s="23" t="s">
        <v>3983</v>
      </c>
      <c r="H185" s="43">
        <f>AVERAGE(F186:F187)</f>
        <v>1.7143666761122243E-2</v>
      </c>
      <c r="I185" s="43"/>
      <c r="J185" s="44"/>
      <c r="K185" s="9">
        <f t="shared" si="13"/>
        <v>0</v>
      </c>
      <c r="L185" s="43"/>
    </row>
    <row r="186" spans="1:12">
      <c r="A186" s="1" t="s">
        <v>3972</v>
      </c>
      <c r="B186" s="7">
        <v>34.270000000000003</v>
      </c>
      <c r="C186" s="7">
        <v>34.770000000000003</v>
      </c>
      <c r="D186" s="16">
        <f>(C186-B186)/B186</f>
        <v>1.4590020426028595E-2</v>
      </c>
      <c r="E186" s="9">
        <v>35.29</v>
      </c>
      <c r="F186" s="16">
        <f>(C186-E186)/E186</f>
        <v>-1.4735052422782545E-2</v>
      </c>
      <c r="G186" s="40"/>
      <c r="H186" s="16"/>
      <c r="I186" s="16"/>
      <c r="J186" s="9">
        <v>18.89</v>
      </c>
      <c r="K186" s="9">
        <f t="shared" si="13"/>
        <v>26.445999999999998</v>
      </c>
      <c r="L186" s="16">
        <f>(C186-K186)/K186</f>
        <v>0.3147545942675643</v>
      </c>
    </row>
    <row r="187" spans="1:12">
      <c r="A187" s="1" t="s">
        <v>3973</v>
      </c>
      <c r="B187" s="7">
        <v>35.590000000000003</v>
      </c>
      <c r="C187" s="7">
        <v>37.020000000000003</v>
      </c>
      <c r="D187" s="16">
        <f>(C187-B187)/B187</f>
        <v>4.017982579376228E-2</v>
      </c>
      <c r="E187" s="9">
        <v>35.29</v>
      </c>
      <c r="F187" s="16">
        <f>(C187-E187)/E187</f>
        <v>4.9022385945027031E-2</v>
      </c>
      <c r="G187" s="40"/>
      <c r="H187" s="16"/>
      <c r="I187" s="16"/>
      <c r="J187" s="9">
        <v>18.89</v>
      </c>
      <c r="K187" s="9">
        <f t="shared" si="13"/>
        <v>26.445999999999998</v>
      </c>
      <c r="L187" s="16">
        <f>(C187-K187)/K187</f>
        <v>0.39983362323224708</v>
      </c>
    </row>
    <row r="188" spans="1:12">
      <c r="A188" s="1"/>
      <c r="B188" s="7"/>
      <c r="C188" s="7"/>
      <c r="D188" s="16"/>
      <c r="E188" s="9"/>
      <c r="F188" s="16"/>
      <c r="G188" s="40"/>
      <c r="H188" s="16"/>
      <c r="I188" s="16"/>
      <c r="J188" s="9"/>
      <c r="K188" s="9">
        <f t="shared" si="13"/>
        <v>0</v>
      </c>
      <c r="L188" s="16"/>
    </row>
    <row r="189" spans="1:12">
      <c r="A189" s="2" t="s">
        <v>3632</v>
      </c>
      <c r="B189" s="11" t="s">
        <v>3534</v>
      </c>
      <c r="C189" s="33" t="s">
        <v>3534</v>
      </c>
      <c r="D189" s="43"/>
      <c r="E189" s="44"/>
      <c r="F189" s="43"/>
      <c r="G189" s="23" t="s">
        <v>3983</v>
      </c>
      <c r="H189" s="43">
        <f>AVERAGE(F190:F192)</f>
        <v>0.25449335764522008</v>
      </c>
      <c r="I189" s="43"/>
      <c r="J189" s="44"/>
      <c r="K189" s="9">
        <f t="shared" si="13"/>
        <v>0</v>
      </c>
      <c r="L189" s="43"/>
    </row>
    <row r="190" spans="1:12">
      <c r="A190" s="1" t="s">
        <v>3876</v>
      </c>
      <c r="B190" s="7">
        <v>45.2</v>
      </c>
      <c r="C190" s="7">
        <v>45.2</v>
      </c>
      <c r="D190" s="16">
        <f>(C190-B190)/B190</f>
        <v>0</v>
      </c>
      <c r="E190" s="9">
        <v>38.39</v>
      </c>
      <c r="F190" s="16">
        <f>(C190-E190)/E190</f>
        <v>0.1773899452982548</v>
      </c>
      <c r="G190" s="40"/>
      <c r="H190" s="16"/>
      <c r="I190" s="16"/>
      <c r="J190" s="9">
        <v>33.47</v>
      </c>
      <c r="K190" s="9">
        <f t="shared" si="13"/>
        <v>46.857999999999997</v>
      </c>
      <c r="L190" s="16">
        <f>(C190-K190)/K190</f>
        <v>-3.5383499082333736E-2</v>
      </c>
    </row>
    <row r="191" spans="1:12">
      <c r="A191" s="1" t="s">
        <v>3955</v>
      </c>
      <c r="B191" s="7">
        <v>48.16</v>
      </c>
      <c r="C191" s="7">
        <v>48.16</v>
      </c>
      <c r="D191" s="16">
        <f>(C191-B191)/B191</f>
        <v>0</v>
      </c>
      <c r="E191" s="9">
        <v>38.39</v>
      </c>
      <c r="F191" s="16">
        <f>(C191-E191)/E191</f>
        <v>0.25449335764522002</v>
      </c>
      <c r="G191" s="40"/>
      <c r="H191" s="16"/>
      <c r="I191" s="16"/>
      <c r="J191" s="9">
        <v>33.47</v>
      </c>
      <c r="K191" s="9">
        <f t="shared" si="13"/>
        <v>46.857999999999997</v>
      </c>
      <c r="L191" s="16">
        <f t="shared" ref="L191:L192" si="19">(C191-K191)/K191</f>
        <v>2.7786077083955776E-2</v>
      </c>
    </row>
    <row r="192" spans="1:12">
      <c r="A192" s="1" t="s">
        <v>3956</v>
      </c>
      <c r="B192" s="7">
        <v>51.12</v>
      </c>
      <c r="C192" s="7">
        <v>51.12</v>
      </c>
      <c r="D192" s="16">
        <f>(C192-B192)/B192</f>
        <v>0</v>
      </c>
      <c r="E192" s="9">
        <v>38.39</v>
      </c>
      <c r="F192" s="16">
        <f>(C192-E192)/E192</f>
        <v>0.3315967699921854</v>
      </c>
      <c r="G192" s="40"/>
      <c r="H192" s="16"/>
      <c r="I192" s="16"/>
      <c r="J192" s="9">
        <v>33.47</v>
      </c>
      <c r="K192" s="9">
        <f t="shared" si="13"/>
        <v>46.857999999999997</v>
      </c>
      <c r="L192" s="16">
        <f t="shared" si="19"/>
        <v>9.0955653250245433E-2</v>
      </c>
    </row>
    <row r="193" spans="1:12">
      <c r="A193" s="1"/>
      <c r="B193" s="7"/>
      <c r="C193" s="7"/>
      <c r="D193" s="16"/>
      <c r="E193" s="9"/>
      <c r="F193" s="16"/>
      <c r="G193" s="40"/>
      <c r="H193" s="16"/>
      <c r="I193" s="16"/>
      <c r="J193" s="9"/>
      <c r="K193" s="9">
        <f t="shared" si="13"/>
        <v>0</v>
      </c>
      <c r="L193" s="16"/>
    </row>
    <row r="194" spans="1:12">
      <c r="A194" s="2" t="s">
        <v>3636</v>
      </c>
      <c r="B194" s="7"/>
      <c r="C194" s="31"/>
      <c r="D194" s="43"/>
      <c r="E194" s="44"/>
      <c r="F194" s="43"/>
      <c r="G194" s="23" t="s">
        <v>3983</v>
      </c>
      <c r="H194" s="43">
        <f>AVERAGE(F195)</f>
        <v>7.7202072538860023E-2</v>
      </c>
      <c r="I194" s="43"/>
      <c r="J194" s="44"/>
      <c r="K194" s="9">
        <f t="shared" si="13"/>
        <v>0</v>
      </c>
      <c r="L194" s="43"/>
    </row>
    <row r="195" spans="1:12">
      <c r="A195" s="1" t="s">
        <v>3696</v>
      </c>
      <c r="B195" s="7">
        <v>39.58</v>
      </c>
      <c r="C195" s="7">
        <v>41.58</v>
      </c>
      <c r="D195" s="16">
        <f>(C195-B195)/B195</f>
        <v>5.0530570995452252E-2</v>
      </c>
      <c r="E195" s="9">
        <v>38.6</v>
      </c>
      <c r="F195" s="16">
        <f>(C195-E195)/E195</f>
        <v>7.7202072538860023E-2</v>
      </c>
      <c r="G195" s="40"/>
      <c r="H195" s="16"/>
      <c r="I195" s="16"/>
      <c r="J195" s="9">
        <v>27.28</v>
      </c>
      <c r="K195" s="9">
        <f t="shared" si="13"/>
        <v>38.192</v>
      </c>
      <c r="L195" s="16">
        <f>(C195-K195)/K195</f>
        <v>8.8709677419354788E-2</v>
      </c>
    </row>
    <row r="196" spans="1:12">
      <c r="A196" s="1"/>
      <c r="B196" s="7"/>
      <c r="C196" s="7"/>
      <c r="D196" s="16"/>
      <c r="E196" s="9"/>
      <c r="F196" s="16"/>
      <c r="G196" s="40"/>
      <c r="H196" s="16"/>
      <c r="I196" s="16"/>
      <c r="J196" s="9"/>
      <c r="K196" s="9">
        <f t="shared" si="13"/>
        <v>0</v>
      </c>
      <c r="L196" s="16"/>
    </row>
    <row r="197" spans="1:12" ht="25.5">
      <c r="A197" s="2" t="s">
        <v>3914</v>
      </c>
      <c r="B197" s="11" t="s">
        <v>3534</v>
      </c>
      <c r="C197" s="33" t="s">
        <v>3534</v>
      </c>
      <c r="D197" s="43"/>
      <c r="E197" s="44"/>
      <c r="F197" s="43"/>
      <c r="G197" s="23" t="s">
        <v>3984</v>
      </c>
      <c r="H197" s="43"/>
      <c r="I197" s="43">
        <f>AVERAGE(F198)</f>
        <v>0</v>
      </c>
      <c r="J197" s="44"/>
      <c r="K197" s="9">
        <f t="shared" si="13"/>
        <v>0</v>
      </c>
      <c r="L197" s="43"/>
    </row>
    <row r="198" spans="1:12">
      <c r="A198" s="1" t="s">
        <v>3639</v>
      </c>
      <c r="B198" s="7">
        <v>20.25</v>
      </c>
      <c r="C198" s="7">
        <v>20.93</v>
      </c>
      <c r="D198" s="16">
        <f>(C198-B198)/B198</f>
        <v>3.3580246913580233E-2</v>
      </c>
      <c r="E198" s="9">
        <v>20.93</v>
      </c>
      <c r="F198" s="16">
        <f>(C198-E198)/E198</f>
        <v>0</v>
      </c>
      <c r="G198" s="40"/>
      <c r="H198" s="16"/>
      <c r="I198" s="16"/>
      <c r="J198" s="9">
        <v>18.8</v>
      </c>
      <c r="K198" s="9">
        <f t="shared" si="13"/>
        <v>26.32</v>
      </c>
      <c r="L198" s="16">
        <f>(C198-K198)/K198</f>
        <v>-0.20478723404255322</v>
      </c>
    </row>
    <row r="199" spans="1:12">
      <c r="A199" s="1"/>
      <c r="B199" s="7"/>
      <c r="C199" s="7"/>
      <c r="D199" s="16"/>
      <c r="E199" s="9"/>
      <c r="F199" s="16"/>
      <c r="G199" s="40"/>
      <c r="H199" s="16"/>
      <c r="I199" s="16"/>
      <c r="J199" s="9"/>
      <c r="K199" s="9">
        <f t="shared" si="13"/>
        <v>0</v>
      </c>
      <c r="L199" s="16"/>
    </row>
    <row r="200" spans="1:12">
      <c r="A200" s="1"/>
      <c r="B200" s="7"/>
      <c r="C200" s="7"/>
      <c r="D200" s="16"/>
      <c r="E200" s="9"/>
      <c r="F200" s="16"/>
      <c r="G200" s="40"/>
      <c r="H200" s="16"/>
      <c r="I200" s="16"/>
      <c r="J200" s="9"/>
      <c r="K200" s="9">
        <f t="shared" si="13"/>
        <v>0</v>
      </c>
      <c r="L200" s="16"/>
    </row>
    <row r="201" spans="1:12" ht="38.25">
      <c r="A201" s="2" t="s">
        <v>3640</v>
      </c>
      <c r="B201" s="12" t="s">
        <v>3510</v>
      </c>
      <c r="C201" s="12" t="s">
        <v>3510</v>
      </c>
      <c r="D201" s="43"/>
      <c r="E201" s="44"/>
      <c r="F201" s="43"/>
      <c r="G201" s="23" t="s">
        <v>3983</v>
      </c>
      <c r="H201" s="43">
        <f>AVERAGE(F202:F204)</f>
        <v>0.11168718945776629</v>
      </c>
      <c r="I201" s="43"/>
      <c r="J201" s="44"/>
      <c r="K201" s="9">
        <f t="shared" si="13"/>
        <v>0</v>
      </c>
      <c r="L201" s="43"/>
    </row>
    <row r="202" spans="1:12">
      <c r="A202" s="1" t="s">
        <v>3934</v>
      </c>
      <c r="B202" s="7">
        <v>46.6</v>
      </c>
      <c r="C202" s="7">
        <v>48.35</v>
      </c>
      <c r="D202" s="16">
        <f>(C202-B202)/B202</f>
        <v>3.7553648068669523E-2</v>
      </c>
      <c r="E202" s="9">
        <v>46.29</v>
      </c>
      <c r="F202" s="16">
        <f>(C202-E202)/E202</f>
        <v>4.4502052279110006E-2</v>
      </c>
      <c r="G202" s="40"/>
      <c r="H202" s="16"/>
      <c r="I202" s="16"/>
      <c r="J202" s="9">
        <v>17.899999999999999</v>
      </c>
      <c r="K202" s="9">
        <f t="shared" si="13"/>
        <v>25.059999999999995</v>
      </c>
      <c r="L202" s="16">
        <f>(C202-K202)/K202</f>
        <v>0.92936951316839633</v>
      </c>
    </row>
    <row r="203" spans="1:12">
      <c r="A203" s="1" t="s">
        <v>3935</v>
      </c>
      <c r="B203" s="7">
        <v>49.62</v>
      </c>
      <c r="C203" s="7">
        <v>51.46</v>
      </c>
      <c r="D203" s="16">
        <f>(C203-B203)/B203</f>
        <v>3.70818218460299E-2</v>
      </c>
      <c r="E203" s="9">
        <v>46.29</v>
      </c>
      <c r="F203" s="16">
        <f>(C203-E203)/E203</f>
        <v>0.11168718945776629</v>
      </c>
      <c r="G203" s="40"/>
      <c r="H203" s="16"/>
      <c r="I203" s="16"/>
      <c r="J203" s="9">
        <v>17.899999999999999</v>
      </c>
      <c r="K203" s="9">
        <f t="shared" ref="K203:K266" si="20">J203*1.4</f>
        <v>25.059999999999995</v>
      </c>
      <c r="L203" s="16">
        <f t="shared" ref="L203:L204" si="21">(C203-K203)/K203</f>
        <v>1.0534716679968081</v>
      </c>
    </row>
    <row r="204" spans="1:12">
      <c r="A204" s="1" t="s">
        <v>3936</v>
      </c>
      <c r="B204" s="7">
        <v>52.64</v>
      </c>
      <c r="C204" s="7">
        <v>54.57</v>
      </c>
      <c r="D204" s="16">
        <f>(C204-B204)/B204</f>
        <v>3.666413373860182E-2</v>
      </c>
      <c r="E204" s="9">
        <v>46.29</v>
      </c>
      <c r="F204" s="16">
        <f>(C204-E204)/E204</f>
        <v>0.17887232663642258</v>
      </c>
      <c r="G204" s="40"/>
      <c r="H204" s="16"/>
      <c r="I204" s="16"/>
      <c r="J204" s="9">
        <v>17.899999999999999</v>
      </c>
      <c r="K204" s="9">
        <f t="shared" si="20"/>
        <v>25.059999999999995</v>
      </c>
      <c r="L204" s="16">
        <f t="shared" si="21"/>
        <v>1.1775738228252199</v>
      </c>
    </row>
    <row r="205" spans="1:12">
      <c r="A205" s="1"/>
      <c r="B205" s="7"/>
      <c r="C205" s="7"/>
      <c r="D205" s="16"/>
      <c r="E205" s="9"/>
      <c r="F205" s="16"/>
      <c r="G205" s="40"/>
      <c r="H205" s="16"/>
      <c r="I205" s="16"/>
      <c r="J205" s="9"/>
      <c r="K205" s="9">
        <f t="shared" si="20"/>
        <v>0</v>
      </c>
      <c r="L205" s="16"/>
    </row>
    <row r="206" spans="1:12">
      <c r="A206" s="2" t="s">
        <v>3644</v>
      </c>
      <c r="B206" s="11" t="s">
        <v>3534</v>
      </c>
      <c r="C206" s="33" t="s">
        <v>3534</v>
      </c>
      <c r="D206" s="43"/>
      <c r="E206" s="44"/>
      <c r="F206" s="43"/>
      <c r="G206" s="23" t="s">
        <v>3983</v>
      </c>
      <c r="H206" s="43">
        <f>AVERAGE(F207)</f>
        <v>1.3654466148302787E-2</v>
      </c>
      <c r="I206" s="43"/>
      <c r="J206" s="44"/>
      <c r="K206" s="9">
        <f t="shared" si="20"/>
        <v>0</v>
      </c>
      <c r="L206" s="43"/>
    </row>
    <row r="207" spans="1:12">
      <c r="A207" s="1" t="s">
        <v>3974</v>
      </c>
      <c r="B207" s="7">
        <v>52.3</v>
      </c>
      <c r="C207" s="7">
        <v>53.45</v>
      </c>
      <c r="D207" s="16">
        <f>(C207-B207)/B207</f>
        <v>2.1988527724665502E-2</v>
      </c>
      <c r="E207" s="9">
        <v>52.73</v>
      </c>
      <c r="F207" s="16">
        <f>(C207-E207)/E207</f>
        <v>1.3654466148302787E-2</v>
      </c>
      <c r="G207" s="40"/>
      <c r="H207" s="16"/>
      <c r="I207" s="16"/>
      <c r="J207" s="9"/>
      <c r="K207" s="9">
        <f t="shared" si="20"/>
        <v>0</v>
      </c>
      <c r="L207" s="16"/>
    </row>
    <row r="208" spans="1:12">
      <c r="A208" s="1"/>
      <c r="B208" s="7"/>
      <c r="C208" s="7"/>
      <c r="D208" s="16"/>
      <c r="E208" s="9"/>
      <c r="F208" s="16"/>
      <c r="G208" s="40"/>
      <c r="H208" s="16"/>
      <c r="I208" s="16"/>
      <c r="J208" s="9"/>
      <c r="K208" s="9">
        <f t="shared" si="20"/>
        <v>0</v>
      </c>
      <c r="L208" s="16"/>
    </row>
    <row r="209" spans="1:12" ht="76.5">
      <c r="A209" s="2" t="s">
        <v>3648</v>
      </c>
      <c r="B209" s="12" t="s">
        <v>3649</v>
      </c>
      <c r="C209" s="31"/>
      <c r="D209" s="43"/>
      <c r="E209" s="44"/>
      <c r="F209" s="43"/>
      <c r="G209" s="23" t="s">
        <v>3984</v>
      </c>
      <c r="H209" s="43"/>
      <c r="I209" s="43">
        <f>AVERAGE(F210)</f>
        <v>0</v>
      </c>
      <c r="J209" s="44"/>
      <c r="K209" s="9">
        <f t="shared" si="20"/>
        <v>0</v>
      </c>
      <c r="L209" s="43"/>
    </row>
    <row r="210" spans="1:12">
      <c r="A210" s="1" t="s">
        <v>3650</v>
      </c>
      <c r="B210" s="7">
        <v>44.89</v>
      </c>
      <c r="C210" s="7">
        <v>27.88</v>
      </c>
      <c r="D210" s="16">
        <f>(C210-B210)/B210</f>
        <v>-0.3789262642013812</v>
      </c>
      <c r="E210" s="9">
        <v>27.88</v>
      </c>
      <c r="F210" s="16">
        <f>(C210-E210)/E210</f>
        <v>0</v>
      </c>
      <c r="G210" s="40"/>
      <c r="H210" s="16"/>
      <c r="I210" s="16"/>
      <c r="J210" s="9">
        <v>39.799999999999997</v>
      </c>
      <c r="K210" s="9">
        <f t="shared" si="20"/>
        <v>55.719999999999992</v>
      </c>
      <c r="L210" s="16">
        <f>(C210-K210)/K210</f>
        <v>-0.49964106245513273</v>
      </c>
    </row>
    <row r="211" spans="1:12">
      <c r="A211" s="1"/>
      <c r="B211" s="7"/>
      <c r="C211" s="7"/>
      <c r="D211" s="16"/>
      <c r="E211" s="9"/>
      <c r="F211" s="16"/>
      <c r="G211" s="40"/>
      <c r="H211" s="16"/>
      <c r="I211" s="16"/>
      <c r="J211" s="9"/>
      <c r="K211" s="9">
        <f t="shared" si="20"/>
        <v>0</v>
      </c>
      <c r="L211" s="16"/>
    </row>
    <row r="212" spans="1:12">
      <c r="A212" s="2" t="s">
        <v>3651</v>
      </c>
      <c r="B212" s="7"/>
      <c r="C212" s="31"/>
      <c r="D212" s="43"/>
      <c r="E212" s="44"/>
      <c r="F212" s="43"/>
      <c r="G212" s="23" t="s">
        <v>3983</v>
      </c>
      <c r="H212" s="43">
        <f>AVERAGE(F213)</f>
        <v>1.0866536639732532E-2</v>
      </c>
      <c r="I212" s="43"/>
      <c r="J212" s="44"/>
      <c r="K212" s="9">
        <f t="shared" si="20"/>
        <v>0</v>
      </c>
      <c r="L212" s="43">
        <f>AVERAGE(L213)</f>
        <v>0.33716644552557878</v>
      </c>
    </row>
    <row r="213" spans="1:12">
      <c r="A213" s="1" t="s">
        <v>3652</v>
      </c>
      <c r="B213" s="7">
        <v>35.49</v>
      </c>
      <c r="C213" s="7">
        <v>36.28</v>
      </c>
      <c r="D213" s="16">
        <f>(C213-B213)/B213</f>
        <v>2.2259791490560697E-2</v>
      </c>
      <c r="E213" s="9">
        <v>35.89</v>
      </c>
      <c r="F213" s="16">
        <f>(C213-E213)/E213</f>
        <v>1.0866536639732532E-2</v>
      </c>
      <c r="G213" s="40"/>
      <c r="H213" s="16"/>
      <c r="I213" s="16"/>
      <c r="J213" s="9">
        <v>19.38</v>
      </c>
      <c r="K213" s="9">
        <f t="shared" si="20"/>
        <v>27.131999999999998</v>
      </c>
      <c r="L213" s="16">
        <f>(C213-K213)/K213</f>
        <v>0.33716644552557878</v>
      </c>
    </row>
    <row r="214" spans="1:12">
      <c r="A214" s="1"/>
      <c r="B214" s="7"/>
      <c r="C214" s="7"/>
      <c r="D214" s="16"/>
      <c r="E214" s="9"/>
      <c r="F214" s="16"/>
      <c r="G214" s="40"/>
      <c r="H214" s="16"/>
      <c r="I214" s="16"/>
      <c r="J214" s="9"/>
      <c r="K214" s="9">
        <f t="shared" si="20"/>
        <v>0</v>
      </c>
      <c r="L214" s="16"/>
    </row>
    <row r="215" spans="1:12" ht="38.25">
      <c r="A215" s="2" t="s">
        <v>3653</v>
      </c>
      <c r="B215" s="7"/>
      <c r="C215" s="12" t="s">
        <v>3977</v>
      </c>
      <c r="D215" s="43"/>
      <c r="E215" s="44"/>
      <c r="F215" s="43"/>
      <c r="G215" s="23" t="s">
        <v>3983</v>
      </c>
      <c r="H215" s="43">
        <f>AVERAGE(F216)</f>
        <v>1.0195758564437194E-2</v>
      </c>
      <c r="I215" s="43"/>
      <c r="J215" s="44"/>
      <c r="K215" s="9">
        <f t="shared" si="20"/>
        <v>0</v>
      </c>
      <c r="L215" s="43"/>
    </row>
    <row r="216" spans="1:12">
      <c r="A216" s="1" t="s">
        <v>3654</v>
      </c>
      <c r="B216" s="7">
        <v>32.479999999999997</v>
      </c>
      <c r="C216" s="7">
        <v>24.77</v>
      </c>
      <c r="D216" s="16">
        <f>(C216-B216)/B216</f>
        <v>-0.23737684729064035</v>
      </c>
      <c r="E216" s="9">
        <v>24.52</v>
      </c>
      <c r="F216" s="16">
        <f>(C216-E216)/E216</f>
        <v>1.0195758564437194E-2</v>
      </c>
      <c r="G216" s="40"/>
      <c r="H216" s="16"/>
      <c r="I216" s="16"/>
      <c r="J216" s="9">
        <v>20.86</v>
      </c>
      <c r="K216" s="9">
        <f t="shared" si="20"/>
        <v>29.203999999999997</v>
      </c>
      <c r="L216" s="16">
        <f>(C216-K216)/K216</f>
        <v>-0.15182851664155589</v>
      </c>
    </row>
    <row r="217" spans="1:12">
      <c r="A217" s="1"/>
      <c r="B217" s="7"/>
      <c r="C217" s="7"/>
      <c r="D217" s="16"/>
      <c r="E217" s="9"/>
      <c r="F217" s="16"/>
      <c r="G217" s="40"/>
      <c r="H217" s="16"/>
      <c r="I217" s="16"/>
      <c r="J217" s="9"/>
      <c r="K217" s="9">
        <f t="shared" si="20"/>
        <v>0</v>
      </c>
      <c r="L217" s="16"/>
    </row>
    <row r="218" spans="1:12" ht="38.25">
      <c r="A218" s="2" t="s">
        <v>3655</v>
      </c>
      <c r="B218" s="7"/>
      <c r="C218" s="12" t="s">
        <v>3510</v>
      </c>
      <c r="D218" s="43"/>
      <c r="E218" s="44"/>
      <c r="F218" s="43"/>
      <c r="G218" s="23" t="s">
        <v>3983</v>
      </c>
      <c r="H218" s="43">
        <f>AVERAGE(F219:F224)</f>
        <v>4.1518034086404983E-2</v>
      </c>
      <c r="I218" s="43"/>
      <c r="J218" s="44"/>
      <c r="K218" s="9">
        <f t="shared" si="20"/>
        <v>0</v>
      </c>
      <c r="L218" s="43"/>
    </row>
    <row r="219" spans="1:12">
      <c r="A219" s="1" t="s">
        <v>3656</v>
      </c>
      <c r="B219" s="7">
        <v>35.99</v>
      </c>
      <c r="C219" s="7">
        <v>32.869999999999997</v>
      </c>
      <c r="D219" s="16">
        <f t="shared" ref="D219:D224" si="22">(C219-B219)/B219</f>
        <v>-8.6690747429841744E-2</v>
      </c>
      <c r="E219" s="9">
        <v>33.64</v>
      </c>
      <c r="F219" s="16">
        <f t="shared" ref="F219:F224" si="23">(C219-E219)/E219</f>
        <v>-2.2889417360285467E-2</v>
      </c>
      <c r="G219" s="40"/>
      <c r="H219" s="16"/>
      <c r="I219" s="16"/>
      <c r="J219" s="9">
        <v>20.86</v>
      </c>
      <c r="K219" s="9">
        <f t="shared" si="20"/>
        <v>29.203999999999997</v>
      </c>
      <c r="L219" s="16">
        <f>(C219-K219)/K219</f>
        <v>0.12553074921243668</v>
      </c>
    </row>
    <row r="220" spans="1:12">
      <c r="A220" s="1" t="s">
        <v>3657</v>
      </c>
      <c r="B220" s="7">
        <v>35.99</v>
      </c>
      <c r="C220" s="7">
        <v>34.119999999999997</v>
      </c>
      <c r="D220" s="16">
        <f t="shared" si="22"/>
        <v>-5.1958877465962894E-2</v>
      </c>
      <c r="E220" s="9">
        <v>33.64</v>
      </c>
      <c r="F220" s="16">
        <f t="shared" si="23"/>
        <v>1.4268727705112868E-2</v>
      </c>
      <c r="G220" s="40"/>
      <c r="H220" s="16"/>
      <c r="I220" s="16"/>
      <c r="J220" s="9">
        <v>20.86</v>
      </c>
      <c r="K220" s="9">
        <f t="shared" si="20"/>
        <v>29.203999999999997</v>
      </c>
      <c r="L220" s="16">
        <f t="shared" ref="L220:L224" si="24">(C220-K220)/K220</f>
        <v>0.16833310505410221</v>
      </c>
    </row>
    <row r="221" spans="1:12">
      <c r="A221" s="1" t="s">
        <v>3916</v>
      </c>
      <c r="B221" s="7">
        <v>35.99</v>
      </c>
      <c r="C221" s="7">
        <v>35.869999999999997</v>
      </c>
      <c r="D221" s="16">
        <f t="shared" si="22"/>
        <v>-3.3342595165324965E-3</v>
      </c>
      <c r="E221" s="9">
        <v>33.64</v>
      </c>
      <c r="F221" s="16">
        <f t="shared" si="23"/>
        <v>6.6290130796670538E-2</v>
      </c>
      <c r="G221" s="40"/>
      <c r="H221" s="16"/>
      <c r="I221" s="16"/>
      <c r="J221" s="9">
        <v>20.86</v>
      </c>
      <c r="K221" s="9">
        <f t="shared" si="20"/>
        <v>29.203999999999997</v>
      </c>
      <c r="L221" s="16">
        <f t="shared" si="24"/>
        <v>0.22825640323243396</v>
      </c>
    </row>
    <row r="222" spans="1:12">
      <c r="A222" s="1" t="s">
        <v>3659</v>
      </c>
      <c r="B222" s="7">
        <v>35.99</v>
      </c>
      <c r="C222" s="7">
        <v>34.369999999999997</v>
      </c>
      <c r="D222" s="16">
        <f t="shared" si="22"/>
        <v>-4.5012503473187117E-2</v>
      </c>
      <c r="E222" s="9">
        <v>33.64</v>
      </c>
      <c r="F222" s="16">
        <f t="shared" si="23"/>
        <v>2.1700356718192534E-2</v>
      </c>
      <c r="G222" s="40"/>
      <c r="H222" s="16"/>
      <c r="I222" s="16"/>
      <c r="J222" s="9">
        <v>20.86</v>
      </c>
      <c r="K222" s="9">
        <f t="shared" si="20"/>
        <v>29.203999999999997</v>
      </c>
      <c r="L222" s="16">
        <f t="shared" si="24"/>
        <v>0.17689357622243532</v>
      </c>
    </row>
    <row r="223" spans="1:12">
      <c r="A223" s="1" t="s">
        <v>3660</v>
      </c>
      <c r="B223" s="7">
        <v>35.99</v>
      </c>
      <c r="C223" s="7">
        <v>35.619999999999997</v>
      </c>
      <c r="D223" s="16">
        <f t="shared" si="22"/>
        <v>-1.0280633509308267E-2</v>
      </c>
      <c r="E223" s="9">
        <v>33.64</v>
      </c>
      <c r="F223" s="16">
        <f t="shared" si="23"/>
        <v>5.8858501783590866E-2</v>
      </c>
      <c r="G223" s="40"/>
      <c r="H223" s="16"/>
      <c r="I223" s="16"/>
      <c r="J223" s="9">
        <v>20.86</v>
      </c>
      <c r="K223" s="9">
        <f t="shared" si="20"/>
        <v>29.203999999999997</v>
      </c>
      <c r="L223" s="16">
        <f t="shared" si="24"/>
        <v>0.21969593206410085</v>
      </c>
    </row>
    <row r="224" spans="1:12">
      <c r="A224" s="1" t="s">
        <v>3661</v>
      </c>
      <c r="B224" s="7">
        <v>35.99</v>
      </c>
      <c r="C224" s="7">
        <v>37.369999999999997</v>
      </c>
      <c r="D224" s="16">
        <f t="shared" si="22"/>
        <v>3.8343984440122131E-2</v>
      </c>
      <c r="E224" s="9">
        <v>33.64</v>
      </c>
      <c r="F224" s="16">
        <f t="shared" si="23"/>
        <v>0.11087990487514854</v>
      </c>
      <c r="G224" s="40"/>
      <c r="H224" s="16"/>
      <c r="I224" s="16"/>
      <c r="J224" s="9">
        <v>20.86</v>
      </c>
      <c r="K224" s="9">
        <f t="shared" si="20"/>
        <v>29.203999999999997</v>
      </c>
      <c r="L224" s="16">
        <f t="shared" si="24"/>
        <v>0.27961923024243257</v>
      </c>
    </row>
    <row r="225" spans="1:12">
      <c r="A225" s="1"/>
      <c r="B225" s="7"/>
      <c r="C225" s="7"/>
      <c r="D225" s="16"/>
      <c r="E225" s="9"/>
      <c r="F225" s="16"/>
      <c r="G225" s="40"/>
      <c r="H225" s="16"/>
      <c r="I225" s="16"/>
      <c r="J225" s="9"/>
      <c r="K225" s="9">
        <f t="shared" si="20"/>
        <v>0</v>
      </c>
      <c r="L225" s="16"/>
    </row>
    <row r="226" spans="1:12">
      <c r="A226" s="1"/>
      <c r="B226" s="7"/>
      <c r="C226" s="7"/>
      <c r="D226" s="16"/>
      <c r="E226" s="9"/>
      <c r="F226" s="16"/>
      <c r="G226" s="40"/>
      <c r="H226" s="16"/>
      <c r="I226" s="16"/>
      <c r="J226" s="9"/>
      <c r="K226" s="9">
        <f t="shared" si="20"/>
        <v>0</v>
      </c>
      <c r="L226" s="16"/>
    </row>
    <row r="227" spans="1:12" ht="51">
      <c r="A227" s="2" t="s">
        <v>3662</v>
      </c>
      <c r="B227" s="12" t="s">
        <v>3547</v>
      </c>
      <c r="C227" s="12" t="s">
        <v>3547</v>
      </c>
      <c r="D227" s="43"/>
      <c r="E227" s="44"/>
      <c r="F227" s="43"/>
      <c r="G227" s="23"/>
      <c r="H227" s="43"/>
      <c r="I227" s="43"/>
      <c r="J227" s="44"/>
      <c r="K227" s="9">
        <f t="shared" si="20"/>
        <v>0</v>
      </c>
      <c r="L227" s="43"/>
    </row>
    <row r="228" spans="1:12">
      <c r="A228" s="1" t="s">
        <v>3663</v>
      </c>
      <c r="B228" s="7">
        <v>30.82</v>
      </c>
      <c r="C228" s="7">
        <v>30.82</v>
      </c>
      <c r="D228" s="16">
        <f>(C228-B228)/B228</f>
        <v>0</v>
      </c>
      <c r="E228" s="9"/>
      <c r="F228" s="16"/>
      <c r="G228" s="40"/>
      <c r="H228" s="16"/>
      <c r="I228" s="16"/>
      <c r="J228" s="9"/>
      <c r="K228" s="9">
        <f t="shared" si="20"/>
        <v>0</v>
      </c>
      <c r="L228" s="16"/>
    </row>
    <row r="229" spans="1:12">
      <c r="A229" s="143"/>
      <c r="B229" s="143"/>
      <c r="C229" s="7"/>
      <c r="D229" s="16"/>
      <c r="E229" s="9"/>
      <c r="F229" s="16"/>
      <c r="G229" s="40"/>
      <c r="H229" s="16"/>
      <c r="I229" s="16"/>
      <c r="J229" s="9"/>
      <c r="K229" s="9">
        <f t="shared" si="20"/>
        <v>0</v>
      </c>
      <c r="L229" s="16"/>
    </row>
    <row r="230" spans="1:12">
      <c r="A230" s="2" t="s">
        <v>3664</v>
      </c>
      <c r="B230" s="7"/>
      <c r="C230" s="31"/>
      <c r="D230" s="43"/>
      <c r="E230" s="44"/>
      <c r="F230" s="43"/>
      <c r="G230" s="23" t="s">
        <v>3984</v>
      </c>
      <c r="H230" s="43"/>
      <c r="I230" s="43">
        <f>AVERAGE(F232:F279)</f>
        <v>2.1611001964636608E-2</v>
      </c>
      <c r="J230" s="44"/>
      <c r="K230" s="9">
        <f t="shared" si="20"/>
        <v>0</v>
      </c>
      <c r="L230" s="43"/>
    </row>
    <row r="231" spans="1:12" ht="38.25" customHeight="1">
      <c r="A231" s="145" t="s">
        <v>3700</v>
      </c>
      <c r="B231" s="145"/>
      <c r="C231" s="13"/>
      <c r="D231" s="16"/>
      <c r="E231" s="9"/>
      <c r="F231" s="16"/>
      <c r="G231" s="40"/>
      <c r="H231" s="16"/>
      <c r="I231" s="16"/>
      <c r="J231" s="9"/>
      <c r="K231" s="9">
        <f t="shared" si="20"/>
        <v>0</v>
      </c>
      <c r="L231" s="16"/>
    </row>
    <row r="232" spans="1:12">
      <c r="A232" s="1" t="s">
        <v>3701</v>
      </c>
      <c r="B232" s="7">
        <v>28.61</v>
      </c>
      <c r="C232" s="7">
        <v>20.8</v>
      </c>
      <c r="D232" s="16">
        <f t="shared" ref="D232:D242" si="25">(C232-B232)/B232</f>
        <v>-0.27298147500873815</v>
      </c>
      <c r="E232" s="9">
        <v>20.36</v>
      </c>
      <c r="F232" s="16">
        <f t="shared" ref="F232:F242" si="26">(C232-E232)/E232</f>
        <v>2.1611001964636604E-2</v>
      </c>
      <c r="G232" s="40"/>
      <c r="H232" s="16"/>
      <c r="I232" s="16"/>
      <c r="J232" s="9">
        <v>21.29</v>
      </c>
      <c r="K232" s="9">
        <f t="shared" si="20"/>
        <v>29.805999999999997</v>
      </c>
      <c r="L232" s="16">
        <f>(C232-K232)/K232</f>
        <v>-0.30215392873917996</v>
      </c>
    </row>
    <row r="233" spans="1:12">
      <c r="A233" s="1" t="s">
        <v>3702</v>
      </c>
      <c r="B233" s="7">
        <v>28.61</v>
      </c>
      <c r="C233" s="7">
        <v>20.8</v>
      </c>
      <c r="D233" s="16">
        <f t="shared" si="25"/>
        <v>-0.27298147500873815</v>
      </c>
      <c r="E233" s="9">
        <v>20.36</v>
      </c>
      <c r="F233" s="16">
        <f t="shared" si="26"/>
        <v>2.1611001964636604E-2</v>
      </c>
      <c r="G233" s="40"/>
      <c r="H233" s="16"/>
      <c r="I233" s="16"/>
      <c r="J233" s="9">
        <v>21.29</v>
      </c>
      <c r="K233" s="9">
        <f t="shared" si="20"/>
        <v>29.805999999999997</v>
      </c>
      <c r="L233" s="16">
        <f t="shared" ref="L233:L279" si="27">(C233-K233)/K233</f>
        <v>-0.30215392873917996</v>
      </c>
    </row>
    <row r="234" spans="1:12">
      <c r="A234" s="1" t="s">
        <v>3703</v>
      </c>
      <c r="B234" s="7">
        <v>28.61</v>
      </c>
      <c r="C234" s="7">
        <v>20.8</v>
      </c>
      <c r="D234" s="16">
        <f t="shared" si="25"/>
        <v>-0.27298147500873815</v>
      </c>
      <c r="E234" s="9">
        <v>20.36</v>
      </c>
      <c r="F234" s="16">
        <f t="shared" si="26"/>
        <v>2.1611001964636604E-2</v>
      </c>
      <c r="G234" s="40"/>
      <c r="H234" s="16"/>
      <c r="I234" s="16"/>
      <c r="J234" s="9">
        <v>21.29</v>
      </c>
      <c r="K234" s="9">
        <f t="shared" si="20"/>
        <v>29.805999999999997</v>
      </c>
      <c r="L234" s="16">
        <f t="shared" si="27"/>
        <v>-0.30215392873917996</v>
      </c>
    </row>
    <row r="235" spans="1:12">
      <c r="A235" s="1" t="s">
        <v>3704</v>
      </c>
      <c r="B235" s="7">
        <v>28.61</v>
      </c>
      <c r="C235" s="7">
        <v>20.8</v>
      </c>
      <c r="D235" s="16">
        <f t="shared" si="25"/>
        <v>-0.27298147500873815</v>
      </c>
      <c r="E235" s="9">
        <v>20.36</v>
      </c>
      <c r="F235" s="16">
        <f t="shared" si="26"/>
        <v>2.1611001964636604E-2</v>
      </c>
      <c r="G235" s="40"/>
      <c r="H235" s="16"/>
      <c r="I235" s="16"/>
      <c r="J235" s="9">
        <v>21.29</v>
      </c>
      <c r="K235" s="9">
        <f t="shared" si="20"/>
        <v>29.805999999999997</v>
      </c>
      <c r="L235" s="16">
        <f t="shared" si="27"/>
        <v>-0.30215392873917996</v>
      </c>
    </row>
    <row r="236" spans="1:12">
      <c r="A236" s="1" t="s">
        <v>3705</v>
      </c>
      <c r="B236" s="7">
        <v>28.61</v>
      </c>
      <c r="C236" s="7">
        <v>20.8</v>
      </c>
      <c r="D236" s="16">
        <f t="shared" si="25"/>
        <v>-0.27298147500873815</v>
      </c>
      <c r="E236" s="9">
        <v>20.36</v>
      </c>
      <c r="F236" s="16">
        <f t="shared" si="26"/>
        <v>2.1611001964636604E-2</v>
      </c>
      <c r="G236" s="40"/>
      <c r="H236" s="16"/>
      <c r="I236" s="16"/>
      <c r="J236" s="9">
        <v>21.29</v>
      </c>
      <c r="K236" s="9">
        <f t="shared" si="20"/>
        <v>29.805999999999997</v>
      </c>
      <c r="L236" s="16">
        <f t="shared" si="27"/>
        <v>-0.30215392873917996</v>
      </c>
    </row>
    <row r="237" spans="1:12">
      <c r="A237" s="1" t="s">
        <v>3706</v>
      </c>
      <c r="B237" s="7">
        <v>28.61</v>
      </c>
      <c r="C237" s="7">
        <v>20.8</v>
      </c>
      <c r="D237" s="16">
        <f t="shared" si="25"/>
        <v>-0.27298147500873815</v>
      </c>
      <c r="E237" s="9">
        <v>20.36</v>
      </c>
      <c r="F237" s="16">
        <f t="shared" si="26"/>
        <v>2.1611001964636604E-2</v>
      </c>
      <c r="G237" s="40"/>
      <c r="H237" s="16"/>
      <c r="I237" s="16"/>
      <c r="J237" s="9">
        <v>21.29</v>
      </c>
      <c r="K237" s="9">
        <f t="shared" si="20"/>
        <v>29.805999999999997</v>
      </c>
      <c r="L237" s="16">
        <f t="shared" si="27"/>
        <v>-0.30215392873917996</v>
      </c>
    </row>
    <row r="238" spans="1:12">
      <c r="A238" s="1" t="s">
        <v>3707</v>
      </c>
      <c r="B238" s="7">
        <v>28.61</v>
      </c>
      <c r="C238" s="7">
        <v>20.8</v>
      </c>
      <c r="D238" s="16">
        <f t="shared" si="25"/>
        <v>-0.27298147500873815</v>
      </c>
      <c r="E238" s="9">
        <v>20.36</v>
      </c>
      <c r="F238" s="16">
        <f t="shared" si="26"/>
        <v>2.1611001964636604E-2</v>
      </c>
      <c r="G238" s="40"/>
      <c r="H238" s="16"/>
      <c r="I238" s="16"/>
      <c r="J238" s="9">
        <v>21.29</v>
      </c>
      <c r="K238" s="9">
        <f t="shared" si="20"/>
        <v>29.805999999999997</v>
      </c>
      <c r="L238" s="16">
        <f t="shared" si="27"/>
        <v>-0.30215392873917996</v>
      </c>
    </row>
    <row r="239" spans="1:12">
      <c r="A239" s="1" t="s">
        <v>3708</v>
      </c>
      <c r="B239" s="7">
        <v>28.61</v>
      </c>
      <c r="C239" s="7">
        <v>20.8</v>
      </c>
      <c r="D239" s="16">
        <f t="shared" si="25"/>
        <v>-0.27298147500873815</v>
      </c>
      <c r="E239" s="9">
        <v>20.36</v>
      </c>
      <c r="F239" s="16">
        <f t="shared" si="26"/>
        <v>2.1611001964636604E-2</v>
      </c>
      <c r="G239" s="40"/>
      <c r="H239" s="16"/>
      <c r="I239" s="16"/>
      <c r="J239" s="9">
        <v>21.29</v>
      </c>
      <c r="K239" s="9">
        <f t="shared" si="20"/>
        <v>29.805999999999997</v>
      </c>
      <c r="L239" s="16">
        <f t="shared" si="27"/>
        <v>-0.30215392873917996</v>
      </c>
    </row>
    <row r="240" spans="1:12">
      <c r="A240" s="1" t="s">
        <v>3709</v>
      </c>
      <c r="B240" s="7">
        <v>28.61</v>
      </c>
      <c r="C240" s="7">
        <v>20.8</v>
      </c>
      <c r="D240" s="16">
        <f t="shared" si="25"/>
        <v>-0.27298147500873815</v>
      </c>
      <c r="E240" s="9">
        <v>20.36</v>
      </c>
      <c r="F240" s="16">
        <f t="shared" si="26"/>
        <v>2.1611001964636604E-2</v>
      </c>
      <c r="G240" s="40"/>
      <c r="H240" s="16"/>
      <c r="I240" s="16"/>
      <c r="J240" s="9">
        <v>21.29</v>
      </c>
      <c r="K240" s="9">
        <f t="shared" si="20"/>
        <v>29.805999999999997</v>
      </c>
      <c r="L240" s="16">
        <f t="shared" si="27"/>
        <v>-0.30215392873917996</v>
      </c>
    </row>
    <row r="241" spans="1:12">
      <c r="A241" s="1" t="s">
        <v>3710</v>
      </c>
      <c r="B241" s="7">
        <v>28.61</v>
      </c>
      <c r="C241" s="7">
        <v>20.8</v>
      </c>
      <c r="D241" s="16">
        <f t="shared" si="25"/>
        <v>-0.27298147500873815</v>
      </c>
      <c r="E241" s="9">
        <v>20.36</v>
      </c>
      <c r="F241" s="16">
        <f t="shared" si="26"/>
        <v>2.1611001964636604E-2</v>
      </c>
      <c r="G241" s="40"/>
      <c r="H241" s="16"/>
      <c r="I241" s="16"/>
      <c r="J241" s="9">
        <v>21.29</v>
      </c>
      <c r="K241" s="9">
        <f t="shared" si="20"/>
        <v>29.805999999999997</v>
      </c>
      <c r="L241" s="16">
        <f t="shared" si="27"/>
        <v>-0.30215392873917996</v>
      </c>
    </row>
    <row r="242" spans="1:12">
      <c r="A242" s="1" t="s">
        <v>3711</v>
      </c>
      <c r="B242" s="7">
        <v>28.61</v>
      </c>
      <c r="C242" s="7">
        <v>20.8</v>
      </c>
      <c r="D242" s="16">
        <f t="shared" si="25"/>
        <v>-0.27298147500873815</v>
      </c>
      <c r="E242" s="9">
        <v>20.36</v>
      </c>
      <c r="F242" s="16">
        <f t="shared" si="26"/>
        <v>2.1611001964636604E-2</v>
      </c>
      <c r="G242" s="40"/>
      <c r="H242" s="16"/>
      <c r="I242" s="16"/>
      <c r="J242" s="9">
        <v>21.29</v>
      </c>
      <c r="K242" s="9">
        <f t="shared" si="20"/>
        <v>29.805999999999997</v>
      </c>
      <c r="L242" s="16">
        <f t="shared" si="27"/>
        <v>-0.30215392873917996</v>
      </c>
    </row>
    <row r="243" spans="1:12">
      <c r="A243" s="6" t="s">
        <v>3712</v>
      </c>
      <c r="B243" s="7"/>
      <c r="C243" s="7"/>
      <c r="D243" s="16"/>
      <c r="E243" s="9"/>
      <c r="F243" s="16"/>
      <c r="G243" s="40"/>
      <c r="H243" s="16"/>
      <c r="I243" s="16"/>
      <c r="J243" s="9"/>
      <c r="K243" s="9">
        <f t="shared" si="20"/>
        <v>0</v>
      </c>
      <c r="L243" s="16"/>
    </row>
    <row r="244" spans="1:12">
      <c r="A244" s="1" t="s">
        <v>3713</v>
      </c>
      <c r="B244" s="7">
        <v>28.61</v>
      </c>
      <c r="C244" s="7">
        <v>20.8</v>
      </c>
      <c r="D244" s="16">
        <f>(C244-B244)/B244</f>
        <v>-0.27298147500873815</v>
      </c>
      <c r="E244" s="9">
        <v>20.36</v>
      </c>
      <c r="F244" s="16">
        <f>(C244-E244)/E244</f>
        <v>2.1611001964636604E-2</v>
      </c>
      <c r="G244" s="40"/>
      <c r="H244" s="16"/>
      <c r="I244" s="16"/>
      <c r="J244" s="9">
        <v>21.29</v>
      </c>
      <c r="K244" s="9">
        <f t="shared" si="20"/>
        <v>29.805999999999997</v>
      </c>
      <c r="L244" s="16">
        <f t="shared" si="27"/>
        <v>-0.30215392873917996</v>
      </c>
    </row>
    <row r="245" spans="1:12">
      <c r="A245" s="1" t="s">
        <v>3714</v>
      </c>
      <c r="B245" s="7">
        <v>28.61</v>
      </c>
      <c r="C245" s="7">
        <v>20.8</v>
      </c>
      <c r="D245" s="16">
        <f>(C245-B245)/B245</f>
        <v>-0.27298147500873815</v>
      </c>
      <c r="E245" s="9">
        <v>20.36</v>
      </c>
      <c r="F245" s="16">
        <f>(C245-E245)/E245</f>
        <v>2.1611001964636604E-2</v>
      </c>
      <c r="G245" s="40"/>
      <c r="H245" s="16"/>
      <c r="I245" s="16"/>
      <c r="J245" s="9">
        <v>21.29</v>
      </c>
      <c r="K245" s="9">
        <f t="shared" si="20"/>
        <v>29.805999999999997</v>
      </c>
      <c r="L245" s="16">
        <f t="shared" si="27"/>
        <v>-0.30215392873917996</v>
      </c>
    </row>
    <row r="246" spans="1:12">
      <c r="A246" s="1" t="s">
        <v>3715</v>
      </c>
      <c r="B246" s="7">
        <v>28.61</v>
      </c>
      <c r="C246" s="7">
        <v>20.8</v>
      </c>
      <c r="D246" s="16">
        <f>(C246-B246)/B246</f>
        <v>-0.27298147500873815</v>
      </c>
      <c r="E246" s="9">
        <v>20.36</v>
      </c>
      <c r="F246" s="16">
        <f>(C246-E246)/E246</f>
        <v>2.1611001964636604E-2</v>
      </c>
      <c r="G246" s="40"/>
      <c r="H246" s="16"/>
      <c r="I246" s="16"/>
      <c r="J246" s="9">
        <v>21.29</v>
      </c>
      <c r="K246" s="9">
        <f t="shared" si="20"/>
        <v>29.805999999999997</v>
      </c>
      <c r="L246" s="16">
        <f t="shared" si="27"/>
        <v>-0.30215392873917996</v>
      </c>
    </row>
    <row r="247" spans="1:12">
      <c r="A247" s="6" t="s">
        <v>3716</v>
      </c>
      <c r="B247" s="7"/>
      <c r="C247" s="7"/>
      <c r="D247" s="16"/>
      <c r="E247" s="9"/>
      <c r="F247" s="16"/>
      <c r="G247" s="40"/>
      <c r="H247" s="16"/>
      <c r="I247" s="16"/>
      <c r="J247" s="9"/>
      <c r="K247" s="9">
        <f t="shared" si="20"/>
        <v>0</v>
      </c>
      <c r="L247" s="16"/>
    </row>
    <row r="248" spans="1:12" ht="25.5">
      <c r="A248" s="1" t="s">
        <v>3717</v>
      </c>
      <c r="B248" s="7"/>
      <c r="C248" s="7"/>
      <c r="D248" s="16"/>
      <c r="E248" s="9"/>
      <c r="F248" s="16"/>
      <c r="G248" s="40"/>
      <c r="H248" s="16"/>
      <c r="I248" s="16"/>
      <c r="J248" s="9"/>
      <c r="K248" s="9">
        <f t="shared" si="20"/>
        <v>0</v>
      </c>
      <c r="L248" s="16"/>
    </row>
    <row r="249" spans="1:12" ht="25.5">
      <c r="A249" s="1" t="s">
        <v>3718</v>
      </c>
      <c r="B249" s="7"/>
      <c r="C249" s="7"/>
      <c r="D249" s="16"/>
      <c r="E249" s="9"/>
      <c r="F249" s="16"/>
      <c r="G249" s="40"/>
      <c r="H249" s="16"/>
      <c r="I249" s="16"/>
      <c r="J249" s="9"/>
      <c r="K249" s="9">
        <f t="shared" si="20"/>
        <v>0</v>
      </c>
      <c r="L249" s="16"/>
    </row>
    <row r="250" spans="1:12">
      <c r="A250" s="1" t="s">
        <v>3719</v>
      </c>
      <c r="B250" s="7"/>
      <c r="C250" s="7">
        <v>20.8</v>
      </c>
      <c r="D250" s="16">
        <v>1</v>
      </c>
      <c r="E250" s="9">
        <v>20.36</v>
      </c>
      <c r="F250" s="16">
        <f>(C250-E250)/E250</f>
        <v>2.1611001964636604E-2</v>
      </c>
      <c r="G250" s="40"/>
      <c r="H250" s="16"/>
      <c r="I250" s="16"/>
      <c r="J250" s="9">
        <v>21.29</v>
      </c>
      <c r="K250" s="9">
        <f t="shared" si="20"/>
        <v>29.805999999999997</v>
      </c>
      <c r="L250" s="16">
        <f t="shared" si="27"/>
        <v>-0.30215392873917996</v>
      </c>
    </row>
    <row r="251" spans="1:12">
      <c r="A251" s="6" t="s">
        <v>3720</v>
      </c>
      <c r="B251" s="7"/>
      <c r="C251" s="7"/>
      <c r="D251" s="16"/>
      <c r="E251" s="9"/>
      <c r="F251" s="16"/>
      <c r="G251" s="40"/>
      <c r="H251" s="16"/>
      <c r="I251" s="16"/>
      <c r="J251" s="9"/>
      <c r="K251" s="9">
        <f t="shared" si="20"/>
        <v>0</v>
      </c>
      <c r="L251" s="16"/>
    </row>
    <row r="252" spans="1:12">
      <c r="A252" s="1" t="s">
        <v>3721</v>
      </c>
      <c r="B252" s="7">
        <v>28.61</v>
      </c>
      <c r="C252" s="7">
        <v>20.8</v>
      </c>
      <c r="D252" s="16">
        <f t="shared" ref="D252:D259" si="28">(C252-B252)/B252</f>
        <v>-0.27298147500873815</v>
      </c>
      <c r="E252" s="9">
        <v>20.36</v>
      </c>
      <c r="F252" s="16">
        <f t="shared" ref="F252:F259" si="29">(C252-E252)/E252</f>
        <v>2.1611001964636604E-2</v>
      </c>
      <c r="G252" s="40"/>
      <c r="H252" s="16"/>
      <c r="I252" s="16"/>
      <c r="J252" s="9">
        <v>21.29</v>
      </c>
      <c r="K252" s="9">
        <f t="shared" si="20"/>
        <v>29.805999999999997</v>
      </c>
      <c r="L252" s="16">
        <f t="shared" si="27"/>
        <v>-0.30215392873917996</v>
      </c>
    </row>
    <row r="253" spans="1:12">
      <c r="A253" s="1" t="s">
        <v>3722</v>
      </c>
      <c r="B253" s="7">
        <v>28.61</v>
      </c>
      <c r="C253" s="7">
        <v>20.8</v>
      </c>
      <c r="D253" s="16">
        <f t="shared" si="28"/>
        <v>-0.27298147500873815</v>
      </c>
      <c r="E253" s="9">
        <v>20.36</v>
      </c>
      <c r="F253" s="16">
        <f t="shared" si="29"/>
        <v>2.1611001964636604E-2</v>
      </c>
      <c r="G253" s="40"/>
      <c r="H253" s="16"/>
      <c r="I253" s="16"/>
      <c r="J253" s="9">
        <v>21.29</v>
      </c>
      <c r="K253" s="9">
        <f t="shared" si="20"/>
        <v>29.805999999999997</v>
      </c>
      <c r="L253" s="16">
        <f t="shared" si="27"/>
        <v>-0.30215392873917996</v>
      </c>
    </row>
    <row r="254" spans="1:12" ht="89.25">
      <c r="A254" s="1" t="s">
        <v>3723</v>
      </c>
      <c r="B254" s="7">
        <v>28.61</v>
      </c>
      <c r="C254" s="7">
        <v>20.8</v>
      </c>
      <c r="D254" s="16">
        <f t="shared" si="28"/>
        <v>-0.27298147500873815</v>
      </c>
      <c r="E254" s="9">
        <v>20.36</v>
      </c>
      <c r="F254" s="16">
        <f t="shared" si="29"/>
        <v>2.1611001964636604E-2</v>
      </c>
      <c r="G254" s="40"/>
      <c r="H254" s="16"/>
      <c r="I254" s="16"/>
      <c r="J254" s="9">
        <v>21.29</v>
      </c>
      <c r="K254" s="9">
        <f t="shared" si="20"/>
        <v>29.805999999999997</v>
      </c>
      <c r="L254" s="16">
        <f t="shared" si="27"/>
        <v>-0.30215392873917996</v>
      </c>
    </row>
    <row r="255" spans="1:12">
      <c r="A255" s="1" t="s">
        <v>3724</v>
      </c>
      <c r="B255" s="7">
        <v>28.61</v>
      </c>
      <c r="C255" s="7">
        <v>20.8</v>
      </c>
      <c r="D255" s="16">
        <f t="shared" si="28"/>
        <v>-0.27298147500873815</v>
      </c>
      <c r="E255" s="9">
        <v>20.36</v>
      </c>
      <c r="F255" s="16">
        <f t="shared" si="29"/>
        <v>2.1611001964636604E-2</v>
      </c>
      <c r="G255" s="40"/>
      <c r="H255" s="16"/>
      <c r="I255" s="16"/>
      <c r="J255" s="9">
        <v>21.29</v>
      </c>
      <c r="K255" s="9">
        <f t="shared" si="20"/>
        <v>29.805999999999997</v>
      </c>
      <c r="L255" s="16">
        <f t="shared" si="27"/>
        <v>-0.30215392873917996</v>
      </c>
    </row>
    <row r="256" spans="1:12" ht="25.5">
      <c r="A256" s="1" t="s">
        <v>3725</v>
      </c>
      <c r="B256" s="7">
        <v>28.61</v>
      </c>
      <c r="C256" s="7">
        <v>20.8</v>
      </c>
      <c r="D256" s="16">
        <f t="shared" si="28"/>
        <v>-0.27298147500873815</v>
      </c>
      <c r="E256" s="9">
        <v>20.36</v>
      </c>
      <c r="F256" s="16">
        <f t="shared" si="29"/>
        <v>2.1611001964636604E-2</v>
      </c>
      <c r="G256" s="40"/>
      <c r="H256" s="16"/>
      <c r="I256" s="16"/>
      <c r="J256" s="9">
        <v>21.29</v>
      </c>
      <c r="K256" s="9">
        <f t="shared" si="20"/>
        <v>29.805999999999997</v>
      </c>
      <c r="L256" s="16">
        <f t="shared" si="27"/>
        <v>-0.30215392873917996</v>
      </c>
    </row>
    <row r="257" spans="1:12">
      <c r="A257" s="1" t="s">
        <v>3726</v>
      </c>
      <c r="B257" s="7">
        <v>28.61</v>
      </c>
      <c r="C257" s="7">
        <v>20.8</v>
      </c>
      <c r="D257" s="16">
        <f t="shared" si="28"/>
        <v>-0.27298147500873815</v>
      </c>
      <c r="E257" s="9">
        <v>20.36</v>
      </c>
      <c r="F257" s="16">
        <f t="shared" si="29"/>
        <v>2.1611001964636604E-2</v>
      </c>
      <c r="G257" s="40"/>
      <c r="H257" s="16"/>
      <c r="I257" s="16"/>
      <c r="J257" s="9">
        <v>21.29</v>
      </c>
      <c r="K257" s="9">
        <f t="shared" si="20"/>
        <v>29.805999999999997</v>
      </c>
      <c r="L257" s="16">
        <f t="shared" si="27"/>
        <v>-0.30215392873917996</v>
      </c>
    </row>
    <row r="258" spans="1:12">
      <c r="A258" s="1" t="s">
        <v>3727</v>
      </c>
      <c r="B258" s="7">
        <v>28.61</v>
      </c>
      <c r="C258" s="7">
        <v>20.8</v>
      </c>
      <c r="D258" s="16">
        <f t="shared" si="28"/>
        <v>-0.27298147500873815</v>
      </c>
      <c r="E258" s="9">
        <v>20.36</v>
      </c>
      <c r="F258" s="16">
        <f t="shared" si="29"/>
        <v>2.1611001964636604E-2</v>
      </c>
      <c r="G258" s="40"/>
      <c r="H258" s="16"/>
      <c r="I258" s="16"/>
      <c r="J258" s="9">
        <v>21.29</v>
      </c>
      <c r="K258" s="9">
        <f t="shared" si="20"/>
        <v>29.805999999999997</v>
      </c>
      <c r="L258" s="16">
        <f t="shared" si="27"/>
        <v>-0.30215392873917996</v>
      </c>
    </row>
    <row r="259" spans="1:12">
      <c r="A259" s="1" t="s">
        <v>3728</v>
      </c>
      <c r="B259" s="7">
        <v>28.61</v>
      </c>
      <c r="C259" s="7">
        <v>20.8</v>
      </c>
      <c r="D259" s="16">
        <f t="shared" si="28"/>
        <v>-0.27298147500873815</v>
      </c>
      <c r="E259" s="9">
        <v>20.36</v>
      </c>
      <c r="F259" s="16">
        <f t="shared" si="29"/>
        <v>2.1611001964636604E-2</v>
      </c>
      <c r="G259" s="40"/>
      <c r="H259" s="16"/>
      <c r="I259" s="16"/>
      <c r="J259" s="9">
        <v>21.29</v>
      </c>
      <c r="K259" s="9">
        <f t="shared" si="20"/>
        <v>29.805999999999997</v>
      </c>
      <c r="L259" s="16">
        <f t="shared" si="27"/>
        <v>-0.30215392873917996</v>
      </c>
    </row>
    <row r="260" spans="1:12">
      <c r="A260" s="6" t="s">
        <v>3729</v>
      </c>
      <c r="B260" s="7"/>
      <c r="C260" s="7"/>
      <c r="D260" s="16"/>
      <c r="E260" s="9"/>
      <c r="F260" s="16"/>
      <c r="G260" s="40"/>
      <c r="H260" s="16"/>
      <c r="I260" s="16"/>
      <c r="J260" s="9"/>
      <c r="K260" s="9">
        <f t="shared" si="20"/>
        <v>0</v>
      </c>
      <c r="L260" s="16"/>
    </row>
    <row r="261" spans="1:12">
      <c r="A261" s="1" t="s">
        <v>3730</v>
      </c>
      <c r="B261" s="7">
        <v>28.61</v>
      </c>
      <c r="C261" s="7">
        <v>20.8</v>
      </c>
      <c r="D261" s="16">
        <f t="shared" ref="D261:D279" si="30">(C261-B261)/B261</f>
        <v>-0.27298147500873815</v>
      </c>
      <c r="E261" s="9">
        <v>20.36</v>
      </c>
      <c r="F261" s="16">
        <f>(C261-E261)/E261</f>
        <v>2.1611001964636604E-2</v>
      </c>
      <c r="G261" s="40"/>
      <c r="H261" s="16"/>
      <c r="I261" s="16"/>
      <c r="J261" s="9">
        <v>21.29</v>
      </c>
      <c r="K261" s="9">
        <f t="shared" si="20"/>
        <v>29.805999999999997</v>
      </c>
      <c r="L261" s="16">
        <f t="shared" si="27"/>
        <v>-0.30215392873917996</v>
      </c>
    </row>
    <row r="262" spans="1:12">
      <c r="A262" s="1" t="s">
        <v>3731</v>
      </c>
      <c r="B262" s="7">
        <v>28.61</v>
      </c>
      <c r="C262" s="7">
        <v>20.8</v>
      </c>
      <c r="D262" s="16">
        <f t="shared" si="30"/>
        <v>-0.27298147500873815</v>
      </c>
      <c r="E262" s="9">
        <v>20.36</v>
      </c>
      <c r="F262" s="16">
        <f>(C262-E262)/E262</f>
        <v>2.1611001964636604E-2</v>
      </c>
      <c r="G262" s="40"/>
      <c r="H262" s="16"/>
      <c r="I262" s="16"/>
      <c r="J262" s="9">
        <v>21.29</v>
      </c>
      <c r="K262" s="9">
        <f t="shared" si="20"/>
        <v>29.805999999999997</v>
      </c>
      <c r="L262" s="16">
        <f t="shared" si="27"/>
        <v>-0.30215392873917996</v>
      </c>
    </row>
    <row r="263" spans="1:12" ht="25.5">
      <c r="A263" s="1" t="s">
        <v>3732</v>
      </c>
      <c r="B263" s="7">
        <v>28.61</v>
      </c>
      <c r="C263" s="7">
        <v>20.8</v>
      </c>
      <c r="D263" s="16">
        <f t="shared" si="30"/>
        <v>-0.27298147500873815</v>
      </c>
      <c r="E263" s="9">
        <v>20.36</v>
      </c>
      <c r="F263" s="16">
        <f>(C263-E263)/E263</f>
        <v>2.1611001964636604E-2</v>
      </c>
      <c r="G263" s="40"/>
      <c r="H263" s="16"/>
      <c r="I263" s="16"/>
      <c r="J263" s="9">
        <v>21.29</v>
      </c>
      <c r="K263" s="9">
        <f t="shared" si="20"/>
        <v>29.805999999999997</v>
      </c>
      <c r="L263" s="16">
        <f t="shared" si="27"/>
        <v>-0.30215392873917996</v>
      </c>
    </row>
    <row r="264" spans="1:12">
      <c r="A264" s="1" t="s">
        <v>3733</v>
      </c>
      <c r="B264" s="7">
        <v>28.61</v>
      </c>
      <c r="C264" s="7">
        <v>20.8</v>
      </c>
      <c r="D264" s="16">
        <f t="shared" si="30"/>
        <v>-0.27298147500873815</v>
      </c>
      <c r="E264" s="9">
        <v>20.36</v>
      </c>
      <c r="F264" s="16">
        <f>(C264-E264)/E264</f>
        <v>2.1611001964636604E-2</v>
      </c>
      <c r="G264" s="40"/>
      <c r="H264" s="16"/>
      <c r="I264" s="16"/>
      <c r="J264" s="9">
        <v>21.29</v>
      </c>
      <c r="K264" s="9">
        <f t="shared" si="20"/>
        <v>29.805999999999997</v>
      </c>
      <c r="L264" s="16">
        <f t="shared" si="27"/>
        <v>-0.30215392873917996</v>
      </c>
    </row>
    <row r="265" spans="1:12">
      <c r="A265" s="6" t="s">
        <v>3734</v>
      </c>
      <c r="B265" s="7"/>
      <c r="C265" s="7"/>
      <c r="D265" s="16"/>
      <c r="E265" s="9"/>
      <c r="F265" s="16"/>
      <c r="G265" s="40"/>
      <c r="H265" s="16"/>
      <c r="I265" s="16"/>
      <c r="J265" s="9"/>
      <c r="K265" s="9">
        <f t="shared" si="20"/>
        <v>0</v>
      </c>
      <c r="L265" s="16"/>
    </row>
    <row r="266" spans="1:12">
      <c r="A266" s="1" t="s">
        <v>3735</v>
      </c>
      <c r="B266" s="7">
        <v>28.61</v>
      </c>
      <c r="C266" s="7">
        <v>20.8</v>
      </c>
      <c r="D266" s="16">
        <f t="shared" si="30"/>
        <v>-0.27298147500873815</v>
      </c>
      <c r="E266" s="9">
        <v>20.36</v>
      </c>
      <c r="F266" s="16">
        <f t="shared" ref="F266:F279" si="31">(C266-E266)/E266</f>
        <v>2.1611001964636604E-2</v>
      </c>
      <c r="G266" s="40"/>
      <c r="H266" s="16"/>
      <c r="I266" s="16"/>
      <c r="J266" s="9">
        <v>21.29</v>
      </c>
      <c r="K266" s="9">
        <f t="shared" si="20"/>
        <v>29.805999999999997</v>
      </c>
      <c r="L266" s="16">
        <f t="shared" si="27"/>
        <v>-0.30215392873917996</v>
      </c>
    </row>
    <row r="267" spans="1:12">
      <c r="A267" s="1" t="s">
        <v>3736</v>
      </c>
      <c r="B267" s="7">
        <v>28.61</v>
      </c>
      <c r="C267" s="7">
        <v>20.8</v>
      </c>
      <c r="D267" s="16">
        <f t="shared" si="30"/>
        <v>-0.27298147500873815</v>
      </c>
      <c r="E267" s="9">
        <v>20.36</v>
      </c>
      <c r="F267" s="16">
        <f t="shared" si="31"/>
        <v>2.1611001964636604E-2</v>
      </c>
      <c r="G267" s="40"/>
      <c r="H267" s="16"/>
      <c r="I267" s="16"/>
      <c r="J267" s="9">
        <v>21.29</v>
      </c>
      <c r="K267" s="9">
        <f t="shared" ref="K267:K292" si="32">J267*1.4</f>
        <v>29.805999999999997</v>
      </c>
      <c r="L267" s="16">
        <f t="shared" si="27"/>
        <v>-0.30215392873917996</v>
      </c>
    </row>
    <row r="268" spans="1:12">
      <c r="A268" s="1" t="s">
        <v>3737</v>
      </c>
      <c r="B268" s="7">
        <v>28.61</v>
      </c>
      <c r="C268" s="7">
        <v>20.8</v>
      </c>
      <c r="D268" s="16">
        <f t="shared" si="30"/>
        <v>-0.27298147500873815</v>
      </c>
      <c r="E268" s="9">
        <v>20.36</v>
      </c>
      <c r="F268" s="16">
        <f t="shared" si="31"/>
        <v>2.1611001964636604E-2</v>
      </c>
      <c r="G268" s="40"/>
      <c r="H268" s="16"/>
      <c r="I268" s="16"/>
      <c r="J268" s="9">
        <v>21.29</v>
      </c>
      <c r="K268" s="9">
        <f t="shared" si="32"/>
        <v>29.805999999999997</v>
      </c>
      <c r="L268" s="16">
        <f t="shared" si="27"/>
        <v>-0.30215392873917996</v>
      </c>
    </row>
    <row r="269" spans="1:12">
      <c r="A269" s="1" t="s">
        <v>3738</v>
      </c>
      <c r="B269" s="7">
        <v>28.61</v>
      </c>
      <c r="C269" s="7">
        <v>20.8</v>
      </c>
      <c r="D269" s="16">
        <f t="shared" si="30"/>
        <v>-0.27298147500873815</v>
      </c>
      <c r="E269" s="9">
        <v>20.36</v>
      </c>
      <c r="F269" s="16">
        <f t="shared" si="31"/>
        <v>2.1611001964636604E-2</v>
      </c>
      <c r="G269" s="40"/>
      <c r="H269" s="16"/>
      <c r="I269" s="16"/>
      <c r="J269" s="9">
        <v>21.29</v>
      </c>
      <c r="K269" s="9">
        <f t="shared" si="32"/>
        <v>29.805999999999997</v>
      </c>
      <c r="L269" s="16">
        <f t="shared" si="27"/>
        <v>-0.30215392873917996</v>
      </c>
    </row>
    <row r="270" spans="1:12">
      <c r="A270" s="1" t="s">
        <v>3739</v>
      </c>
      <c r="B270" s="7">
        <v>28.61</v>
      </c>
      <c r="C270" s="7">
        <v>20.8</v>
      </c>
      <c r="D270" s="16">
        <f t="shared" si="30"/>
        <v>-0.27298147500873815</v>
      </c>
      <c r="E270" s="9">
        <v>20.36</v>
      </c>
      <c r="F270" s="16">
        <f t="shared" si="31"/>
        <v>2.1611001964636604E-2</v>
      </c>
      <c r="G270" s="40"/>
      <c r="H270" s="16"/>
      <c r="I270" s="16"/>
      <c r="J270" s="9">
        <v>21.29</v>
      </c>
      <c r="K270" s="9">
        <f t="shared" si="32"/>
        <v>29.805999999999997</v>
      </c>
      <c r="L270" s="16">
        <f t="shared" si="27"/>
        <v>-0.30215392873917996</v>
      </c>
    </row>
    <row r="271" spans="1:12">
      <c r="A271" s="1" t="s">
        <v>3740</v>
      </c>
      <c r="B271" s="7">
        <v>28.61</v>
      </c>
      <c r="C271" s="7">
        <v>20.8</v>
      </c>
      <c r="D271" s="16">
        <f t="shared" si="30"/>
        <v>-0.27298147500873815</v>
      </c>
      <c r="E271" s="9">
        <v>20.36</v>
      </c>
      <c r="F271" s="16">
        <f t="shared" si="31"/>
        <v>2.1611001964636604E-2</v>
      </c>
      <c r="G271" s="40"/>
      <c r="H271" s="16"/>
      <c r="I271" s="16"/>
      <c r="J271" s="9">
        <v>21.29</v>
      </c>
      <c r="K271" s="9">
        <f t="shared" si="32"/>
        <v>29.805999999999997</v>
      </c>
      <c r="L271" s="16">
        <f t="shared" si="27"/>
        <v>-0.30215392873917996</v>
      </c>
    </row>
    <row r="272" spans="1:12">
      <c r="A272" s="1" t="s">
        <v>3741</v>
      </c>
      <c r="B272" s="7">
        <v>28.61</v>
      </c>
      <c r="C272" s="7">
        <v>20.8</v>
      </c>
      <c r="D272" s="16">
        <f t="shared" si="30"/>
        <v>-0.27298147500873815</v>
      </c>
      <c r="E272" s="9">
        <v>20.36</v>
      </c>
      <c r="F272" s="16">
        <f t="shared" si="31"/>
        <v>2.1611001964636604E-2</v>
      </c>
      <c r="G272" s="40"/>
      <c r="H272" s="16"/>
      <c r="I272" s="16"/>
      <c r="J272" s="9">
        <v>21.29</v>
      </c>
      <c r="K272" s="9">
        <f t="shared" si="32"/>
        <v>29.805999999999997</v>
      </c>
      <c r="L272" s="16">
        <f t="shared" si="27"/>
        <v>-0.30215392873917996</v>
      </c>
    </row>
    <row r="273" spans="1:12" ht="25.5">
      <c r="A273" s="1" t="s">
        <v>3742</v>
      </c>
      <c r="B273" s="7">
        <v>28.61</v>
      </c>
      <c r="C273" s="7">
        <v>20.8</v>
      </c>
      <c r="D273" s="16">
        <f t="shared" si="30"/>
        <v>-0.27298147500873815</v>
      </c>
      <c r="E273" s="9">
        <v>20.36</v>
      </c>
      <c r="F273" s="16">
        <f t="shared" si="31"/>
        <v>2.1611001964636604E-2</v>
      </c>
      <c r="G273" s="40"/>
      <c r="H273" s="16"/>
      <c r="I273" s="16"/>
      <c r="J273" s="9">
        <v>21.29</v>
      </c>
      <c r="K273" s="9">
        <f t="shared" si="32"/>
        <v>29.805999999999997</v>
      </c>
      <c r="L273" s="16">
        <f t="shared" si="27"/>
        <v>-0.30215392873917996</v>
      </c>
    </row>
    <row r="274" spans="1:12">
      <c r="A274" s="1" t="s">
        <v>3743</v>
      </c>
      <c r="B274" s="7">
        <v>28.61</v>
      </c>
      <c r="C274" s="7">
        <v>20.8</v>
      </c>
      <c r="D274" s="16">
        <f t="shared" si="30"/>
        <v>-0.27298147500873815</v>
      </c>
      <c r="E274" s="9">
        <v>20.36</v>
      </c>
      <c r="F274" s="16">
        <f t="shared" si="31"/>
        <v>2.1611001964636604E-2</v>
      </c>
      <c r="G274" s="40"/>
      <c r="H274" s="16"/>
      <c r="I274" s="16"/>
      <c r="J274" s="9">
        <v>21.29</v>
      </c>
      <c r="K274" s="9">
        <f t="shared" si="32"/>
        <v>29.805999999999997</v>
      </c>
      <c r="L274" s="16">
        <f t="shared" si="27"/>
        <v>-0.30215392873917996</v>
      </c>
    </row>
    <row r="275" spans="1:12">
      <c r="A275" s="1" t="s">
        <v>3744</v>
      </c>
      <c r="B275" s="7">
        <v>28.61</v>
      </c>
      <c r="C275" s="7">
        <v>20.8</v>
      </c>
      <c r="D275" s="16">
        <f t="shared" si="30"/>
        <v>-0.27298147500873815</v>
      </c>
      <c r="E275" s="9">
        <v>20.36</v>
      </c>
      <c r="F275" s="16">
        <f t="shared" si="31"/>
        <v>2.1611001964636604E-2</v>
      </c>
      <c r="G275" s="40"/>
      <c r="H275" s="16"/>
      <c r="I275" s="16"/>
      <c r="J275" s="9">
        <v>21.29</v>
      </c>
      <c r="K275" s="9">
        <f t="shared" si="32"/>
        <v>29.805999999999997</v>
      </c>
      <c r="L275" s="16">
        <f t="shared" si="27"/>
        <v>-0.30215392873917996</v>
      </c>
    </row>
    <row r="276" spans="1:12">
      <c r="A276" s="1" t="s">
        <v>3745</v>
      </c>
      <c r="B276" s="7">
        <v>28.61</v>
      </c>
      <c r="C276" s="7">
        <v>20.8</v>
      </c>
      <c r="D276" s="16">
        <f t="shared" si="30"/>
        <v>-0.27298147500873815</v>
      </c>
      <c r="E276" s="9">
        <v>20.36</v>
      </c>
      <c r="F276" s="16">
        <f t="shared" si="31"/>
        <v>2.1611001964636604E-2</v>
      </c>
      <c r="G276" s="40"/>
      <c r="H276" s="16"/>
      <c r="I276" s="16"/>
      <c r="J276" s="9">
        <v>21.29</v>
      </c>
      <c r="K276" s="9">
        <f t="shared" si="32"/>
        <v>29.805999999999997</v>
      </c>
      <c r="L276" s="16">
        <f t="shared" si="27"/>
        <v>-0.30215392873917996</v>
      </c>
    </row>
    <row r="277" spans="1:12">
      <c r="A277" s="1" t="s">
        <v>3746</v>
      </c>
      <c r="B277" s="7">
        <v>28.61</v>
      </c>
      <c r="C277" s="7">
        <v>20.8</v>
      </c>
      <c r="D277" s="16">
        <f t="shared" si="30"/>
        <v>-0.27298147500873815</v>
      </c>
      <c r="E277" s="9">
        <v>20.36</v>
      </c>
      <c r="F277" s="16">
        <f t="shared" si="31"/>
        <v>2.1611001964636604E-2</v>
      </c>
      <c r="G277" s="40"/>
      <c r="H277" s="16"/>
      <c r="I277" s="16"/>
      <c r="J277" s="9">
        <v>21.29</v>
      </c>
      <c r="K277" s="9">
        <f t="shared" si="32"/>
        <v>29.805999999999997</v>
      </c>
      <c r="L277" s="16">
        <f t="shared" si="27"/>
        <v>-0.30215392873917996</v>
      </c>
    </row>
    <row r="278" spans="1:12">
      <c r="A278" s="1" t="s">
        <v>3747</v>
      </c>
      <c r="B278" s="7">
        <v>28.61</v>
      </c>
      <c r="C278" s="7">
        <v>20.8</v>
      </c>
      <c r="D278" s="16">
        <f t="shared" si="30"/>
        <v>-0.27298147500873815</v>
      </c>
      <c r="E278" s="9">
        <v>20.36</v>
      </c>
      <c r="F278" s="16">
        <f t="shared" si="31"/>
        <v>2.1611001964636604E-2</v>
      </c>
      <c r="G278" s="40"/>
      <c r="H278" s="16"/>
      <c r="I278" s="16"/>
      <c r="J278" s="9">
        <v>21.29</v>
      </c>
      <c r="K278" s="9">
        <f t="shared" si="32"/>
        <v>29.805999999999997</v>
      </c>
      <c r="L278" s="16">
        <f t="shared" si="27"/>
        <v>-0.30215392873917996</v>
      </c>
    </row>
    <row r="279" spans="1:12">
      <c r="A279" s="2" t="s">
        <v>3748</v>
      </c>
      <c r="B279" s="7">
        <v>28.61</v>
      </c>
      <c r="C279" s="7">
        <v>20.8</v>
      </c>
      <c r="D279" s="16">
        <f t="shared" si="30"/>
        <v>-0.27298147500873815</v>
      </c>
      <c r="E279" s="9">
        <v>20.36</v>
      </c>
      <c r="F279" s="16">
        <f t="shared" si="31"/>
        <v>2.1611001964636604E-2</v>
      </c>
      <c r="G279" s="40"/>
      <c r="H279" s="16"/>
      <c r="I279" s="16"/>
      <c r="J279" s="9">
        <v>21.29</v>
      </c>
      <c r="K279" s="9">
        <f t="shared" si="32"/>
        <v>29.805999999999997</v>
      </c>
      <c r="L279" s="16">
        <f t="shared" si="27"/>
        <v>-0.30215392873917996</v>
      </c>
    </row>
    <row r="280" spans="1:12">
      <c r="A280" s="1"/>
      <c r="B280" s="7"/>
      <c r="C280" s="7"/>
      <c r="D280" s="16"/>
      <c r="E280" s="9"/>
      <c r="F280" s="16"/>
      <c r="G280" s="40"/>
      <c r="H280" s="16"/>
      <c r="I280" s="16"/>
      <c r="J280" s="9"/>
      <c r="K280" s="9">
        <f t="shared" si="32"/>
        <v>0</v>
      </c>
      <c r="L280" s="16"/>
    </row>
    <row r="281" spans="1:12">
      <c r="A281" s="143"/>
      <c r="B281" s="143"/>
      <c r="C281" s="7"/>
      <c r="D281" s="16"/>
      <c r="E281" s="9"/>
      <c r="F281" s="16"/>
      <c r="G281" s="40"/>
      <c r="H281" s="16"/>
      <c r="I281" s="16"/>
      <c r="J281" s="9"/>
      <c r="K281" s="9">
        <f t="shared" si="32"/>
        <v>0</v>
      </c>
      <c r="L281" s="16"/>
    </row>
    <row r="282" spans="1:12">
      <c r="A282" s="2" t="s">
        <v>3666</v>
      </c>
      <c r="B282" s="7"/>
      <c r="C282" s="31" t="s">
        <v>3481</v>
      </c>
      <c r="D282" s="43"/>
      <c r="E282" s="44"/>
      <c r="F282" s="43"/>
      <c r="G282" s="23" t="s">
        <v>3984</v>
      </c>
      <c r="H282" s="43"/>
      <c r="I282" s="43">
        <f>AVERAGE(F283)</f>
        <v>0</v>
      </c>
      <c r="J282" s="44"/>
      <c r="K282" s="9">
        <f t="shared" si="32"/>
        <v>0</v>
      </c>
      <c r="L282" s="43"/>
    </row>
    <row r="283" spans="1:12">
      <c r="A283" s="1" t="s">
        <v>3667</v>
      </c>
      <c r="B283" s="7">
        <v>21.32</v>
      </c>
      <c r="C283" s="7">
        <v>54.49</v>
      </c>
      <c r="D283" s="16">
        <f>(C283-B283)/B283</f>
        <v>1.5558161350844277</v>
      </c>
      <c r="E283" s="9">
        <v>54.49</v>
      </c>
      <c r="F283" s="16">
        <f>(C283-E283)/E283</f>
        <v>0</v>
      </c>
      <c r="G283" s="40"/>
      <c r="H283" s="16"/>
      <c r="I283" s="16"/>
      <c r="J283" s="9"/>
      <c r="K283" s="9">
        <f t="shared" si="32"/>
        <v>0</v>
      </c>
      <c r="L283" s="16"/>
    </row>
    <row r="284" spans="1:12">
      <c r="A284" s="1"/>
      <c r="B284" s="7"/>
      <c r="C284" s="7"/>
      <c r="D284" s="16"/>
      <c r="E284" s="9"/>
      <c r="F284" s="16"/>
      <c r="G284" s="40"/>
      <c r="H284" s="16"/>
      <c r="I284" s="16"/>
      <c r="J284" s="9"/>
      <c r="K284" s="9">
        <f t="shared" si="32"/>
        <v>0</v>
      </c>
      <c r="L284" s="16"/>
    </row>
    <row r="285" spans="1:12" ht="76.5">
      <c r="A285" s="2" t="s">
        <v>3668</v>
      </c>
      <c r="B285" s="12" t="s">
        <v>3649</v>
      </c>
      <c r="C285" s="12" t="s">
        <v>3649</v>
      </c>
      <c r="D285" s="43"/>
      <c r="E285" s="44"/>
      <c r="F285" s="43"/>
      <c r="G285" s="23" t="s">
        <v>3983</v>
      </c>
      <c r="H285" s="43">
        <f>AVERAGE(F286)</f>
        <v>2.1562766865926515E-2</v>
      </c>
      <c r="I285" s="43"/>
      <c r="J285" s="44"/>
      <c r="K285" s="9">
        <f t="shared" si="32"/>
        <v>0</v>
      </c>
      <c r="L285" s="43"/>
    </row>
    <row r="286" spans="1:12" ht="25.5">
      <c r="A286" s="1" t="s">
        <v>3670</v>
      </c>
      <c r="B286" s="7">
        <v>46.1</v>
      </c>
      <c r="C286" s="7">
        <v>47.85</v>
      </c>
      <c r="D286" s="16">
        <f>(C286-B286)/B286</f>
        <v>3.7960954446854663E-2</v>
      </c>
      <c r="E286" s="9">
        <v>46.84</v>
      </c>
      <c r="F286" s="16">
        <f>(C286-E286)/E286</f>
        <v>2.1562766865926515E-2</v>
      </c>
      <c r="G286" s="40"/>
      <c r="H286" s="16"/>
      <c r="I286" s="16"/>
      <c r="J286" s="9"/>
      <c r="K286" s="9">
        <f t="shared" si="32"/>
        <v>0</v>
      </c>
      <c r="L286" s="16"/>
    </row>
    <row r="287" spans="1:12">
      <c r="A287" s="1"/>
      <c r="B287" s="7"/>
      <c r="C287" s="7"/>
      <c r="D287" s="16"/>
      <c r="E287" s="9"/>
      <c r="F287" s="16"/>
      <c r="G287" s="40"/>
      <c r="H287" s="16"/>
      <c r="I287" s="16"/>
      <c r="J287" s="9"/>
      <c r="K287" s="9">
        <f t="shared" si="32"/>
        <v>0</v>
      </c>
      <c r="L287" s="16"/>
    </row>
    <row r="288" spans="1:12">
      <c r="A288" s="2" t="s">
        <v>3671</v>
      </c>
      <c r="B288" s="7"/>
      <c r="C288" s="31" t="s">
        <v>3487</v>
      </c>
      <c r="D288" s="43"/>
      <c r="E288" s="44"/>
      <c r="F288" s="43"/>
      <c r="G288" s="23" t="s">
        <v>3983</v>
      </c>
      <c r="H288" s="43">
        <f>AVERAGE(F289:F292)</f>
        <v>-2.9934847684451788E-3</v>
      </c>
      <c r="I288" s="43"/>
      <c r="J288" s="44"/>
      <c r="K288" s="9">
        <f t="shared" si="32"/>
        <v>0</v>
      </c>
      <c r="L288" s="43"/>
    </row>
    <row r="289" spans="1:12">
      <c r="A289" s="1" t="s">
        <v>3672</v>
      </c>
      <c r="B289" s="7">
        <v>42.65</v>
      </c>
      <c r="C289" s="7">
        <v>56.62</v>
      </c>
      <c r="D289" s="16">
        <f>(C289-B289)/B289</f>
        <v>0.32754982415005862</v>
      </c>
      <c r="E289" s="9">
        <v>56.79</v>
      </c>
      <c r="F289" s="16">
        <f>(C289-E289)/E289</f>
        <v>-2.9934847684451788E-3</v>
      </c>
      <c r="G289" s="40"/>
      <c r="H289" s="16"/>
      <c r="I289" s="16"/>
      <c r="J289" s="9"/>
      <c r="K289" s="9">
        <f t="shared" si="32"/>
        <v>0</v>
      </c>
      <c r="L289" s="16"/>
    </row>
    <row r="290" spans="1:12">
      <c r="A290" s="1"/>
      <c r="B290" s="7"/>
      <c r="C290" s="7"/>
      <c r="D290" s="16"/>
      <c r="E290" s="9"/>
      <c r="F290" s="16"/>
      <c r="G290" s="40"/>
      <c r="H290" s="16"/>
      <c r="I290" s="16"/>
      <c r="J290" s="9"/>
      <c r="K290" s="9">
        <f t="shared" si="32"/>
        <v>0</v>
      </c>
      <c r="L290" s="16"/>
    </row>
    <row r="291" spans="1:12">
      <c r="A291" s="2" t="s">
        <v>3673</v>
      </c>
      <c r="B291" s="7"/>
      <c r="C291" s="31" t="s">
        <v>3487</v>
      </c>
      <c r="D291" s="16"/>
      <c r="E291" s="9"/>
      <c r="F291" s="16"/>
      <c r="G291" s="40"/>
      <c r="H291" s="16"/>
      <c r="I291" s="16"/>
      <c r="J291" s="9"/>
      <c r="K291" s="9">
        <f t="shared" si="32"/>
        <v>0</v>
      </c>
      <c r="L291" s="16"/>
    </row>
    <row r="292" spans="1:12">
      <c r="A292" s="1" t="s">
        <v>3674</v>
      </c>
      <c r="B292" s="7">
        <v>42.65</v>
      </c>
      <c r="C292" s="7">
        <v>56.62</v>
      </c>
      <c r="D292" s="16">
        <f>(C292-B292)/B292</f>
        <v>0.32754982415005862</v>
      </c>
      <c r="E292" s="9">
        <v>56.79</v>
      </c>
      <c r="F292" s="16">
        <f>(C292-E292)/E292</f>
        <v>-2.9934847684451788E-3</v>
      </c>
      <c r="G292" s="40"/>
      <c r="H292" s="16"/>
      <c r="I292" s="16"/>
      <c r="J292" s="9"/>
      <c r="K292" s="9">
        <f t="shared" si="32"/>
        <v>0</v>
      </c>
      <c r="L292" s="16"/>
    </row>
    <row r="294" spans="1:12">
      <c r="A294" s="8" t="s">
        <v>3988</v>
      </c>
      <c r="B294" s="7"/>
      <c r="D294" s="16"/>
      <c r="E294" s="40"/>
      <c r="G294" s="40"/>
    </row>
    <row r="295" spans="1:12">
      <c r="A295" s="1" t="s">
        <v>3986</v>
      </c>
      <c r="B295" s="7"/>
      <c r="D295" s="16"/>
      <c r="G295" s="40">
        <f>COUNTIF(G4:G292,"Y")</f>
        <v>29</v>
      </c>
    </row>
    <row r="296" spans="1:12">
      <c r="A296" s="1" t="s">
        <v>3987</v>
      </c>
      <c r="B296" s="7"/>
      <c r="D296" s="16"/>
      <c r="G296" s="41">
        <f>COUNTIF(G4:G292,"N")</f>
        <v>9</v>
      </c>
    </row>
    <row r="297" spans="1:12">
      <c r="A297" s="8" t="s">
        <v>3985</v>
      </c>
      <c r="B297"/>
      <c r="D297" s="16"/>
      <c r="G297" s="23">
        <f>SUM(G295:G296)</f>
        <v>38</v>
      </c>
    </row>
  </sheetData>
  <mergeCells count="22">
    <mergeCell ref="A229:B229"/>
    <mergeCell ref="A231:B231"/>
    <mergeCell ref="A281:B281"/>
    <mergeCell ref="A168:B168"/>
    <mergeCell ref="A169:B169"/>
    <mergeCell ref="A180:B180"/>
    <mergeCell ref="A184:B184"/>
    <mergeCell ref="C149:C150"/>
    <mergeCell ref="A28:B28"/>
    <mergeCell ref="A70:B70"/>
    <mergeCell ref="A74:B74"/>
    <mergeCell ref="A84:B84"/>
    <mergeCell ref="B85:B86"/>
    <mergeCell ref="A101:B101"/>
    <mergeCell ref="A106:B106"/>
    <mergeCell ref="A107:B107"/>
    <mergeCell ref="A131:B131"/>
    <mergeCell ref="B132:B133"/>
    <mergeCell ref="A148:B148"/>
    <mergeCell ref="C85:C86"/>
    <mergeCell ref="C132:C133"/>
    <mergeCell ref="B149:B150"/>
  </mergeCells>
  <phoneticPr fontId="2" type="noConversion"/>
  <hyperlinks>
    <hyperlink ref="A1" r:id="rId1" display="http://www.laborcommissioner.com/10rates/washoe.html"/>
    <hyperlink ref="B4" location="SHEET" display="SHEET"/>
    <hyperlink ref="B15" location="brick zone" display="brick zone"/>
    <hyperlink ref="B20" location="carp zone" display="carp zone"/>
    <hyperlink ref="B58" location="laborer zone" display="laborer zone"/>
    <hyperlink ref="B68" location="laborer zone" display="laborer zone"/>
    <hyperlink ref="B71" location="Hod Brick Zone" display="Hod Brick Zone"/>
    <hyperlink ref="B75" location="Hod Plaster Zone" display="Hod Plaster Zone"/>
    <hyperlink ref="B80" r:id="rId2" display="http://www.laborcommissioner.com/10rates/2010 Amendments/2010Amendment1.htm"/>
    <hyperlink ref="B85" location="laborer zone" display="laborer zone"/>
    <hyperlink ref="A86" location="LABORER GROUP" display="LABORER GROUP"/>
    <hyperlink ref="B102" r:id="rId3" display="http://www.laborcommissioner.com/10rates/2010 Amendments/2010Amendment2.htm"/>
    <hyperlink ref="B111" location="OP ZONE" display="OP ZONE"/>
    <hyperlink ref="A112" location="OP GROUPS" display="OP GROUPS"/>
    <hyperlink ref="A133" location="OP GROUP  STEEL" display="OP GROUP  STEEL"/>
    <hyperlink ref="B132" location="OP ZONE" display="OP ZONE"/>
    <hyperlink ref="A150" location="OP GROUP PILEDRIVER" display="OP GROUP PILEDRIVER"/>
    <hyperlink ref="B185" location="plastzone" display="plastzone"/>
    <hyperlink ref="B201" location="SHEET ZONE" display="SHEET ZONE"/>
    <hyperlink ref="B209" location="OP ZONE" display="OP ZONE"/>
    <hyperlink ref="B227" location="laborer zone" display="laborer zone"/>
    <hyperlink ref="B285" location="OP ZONE" display="OP ZONE"/>
    <hyperlink ref="C15" location="brick zone" display="brick zone"/>
    <hyperlink ref="C20" location="carp zone" display="carp zone"/>
    <hyperlink ref="C68" location="laborer zone" display="laborer zone"/>
    <hyperlink ref="C75" location="Hod Plaster Zone" display="Hod Plaster Zone"/>
    <hyperlink ref="C85" location="laborer zone" display="laborer zone"/>
    <hyperlink ref="C111" location="OP ZONE" display="OP ZONE"/>
    <hyperlink ref="C132" location="OP ZONE" display="OP ZONE"/>
    <hyperlink ref="C185" location="plastzone" display="plastzone"/>
    <hyperlink ref="C201" location="SHEET ZONE" display="SHEET ZONE"/>
    <hyperlink ref="C215" location="TILE 09" display="TILE 09"/>
    <hyperlink ref="C218" location="TILE 09" display="TILE 09"/>
    <hyperlink ref="C227" location="laborer zone" display="laborer zone"/>
    <hyperlink ref="C285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12" sqref="G12"/>
    </sheetView>
  </sheetViews>
  <sheetFormatPr defaultRowHeight="12.75"/>
  <cols>
    <col min="1" max="1" width="30.7109375" customWidth="1"/>
    <col min="2" max="2" width="18.85546875" bestFit="1" customWidth="1"/>
    <col min="3" max="3" width="2.140625" customWidth="1"/>
    <col min="4" max="4" width="18.85546875" bestFit="1" customWidth="1"/>
    <col min="5" max="5" width="2.28515625" customWidth="1"/>
  </cols>
  <sheetData>
    <row r="1" spans="1:5">
      <c r="A1" s="105" t="s">
        <v>5376</v>
      </c>
    </row>
    <row r="2" spans="1:5" ht="16.5" thickBot="1">
      <c r="A2" s="140" t="s">
        <v>4015</v>
      </c>
      <c r="B2" s="140"/>
      <c r="C2" s="140"/>
      <c r="D2" s="140"/>
      <c r="E2" s="140"/>
    </row>
    <row r="4" spans="1:5" ht="15.75">
      <c r="A4" s="117"/>
      <c r="B4" s="118">
        <v>2009</v>
      </c>
      <c r="C4" s="8"/>
      <c r="D4" s="118">
        <v>2010</v>
      </c>
      <c r="E4" s="8"/>
    </row>
    <row r="5" spans="1:5" ht="15.75">
      <c r="A5" s="117" t="s">
        <v>5374</v>
      </c>
      <c r="B5" s="115">
        <f>'South All Projects'!C1</f>
        <v>3279010673.6800013</v>
      </c>
      <c r="D5" s="115">
        <f>'South All Projects'!C2</f>
        <v>1405458641.9200006</v>
      </c>
    </row>
    <row r="6" spans="1:5" ht="15.75">
      <c r="A6" s="117" t="s">
        <v>5375</v>
      </c>
      <c r="B6" s="116">
        <f>'South NSHE &amp; South District'!D1</f>
        <v>157445462.69</v>
      </c>
      <c r="D6" s="116">
        <f>'South NSHE &amp; South District'!D2</f>
        <v>166181485.74000001</v>
      </c>
    </row>
    <row r="7" spans="1:5" ht="15.75">
      <c r="A7" s="117" t="s">
        <v>3985</v>
      </c>
      <c r="B7" s="119">
        <f>SUM(B4:B6)</f>
        <v>3436458145.3700013</v>
      </c>
      <c r="C7" s="8"/>
      <c r="D7" s="119">
        <f>SUM(D4:D6)</f>
        <v>1571642137.6600006</v>
      </c>
      <c r="E7" s="8"/>
    </row>
    <row r="9" spans="1:5" ht="15.75">
      <c r="A9" s="117" t="s">
        <v>5356</v>
      </c>
      <c r="B9" s="115">
        <f>B7*0.5</f>
        <v>1718229072.6850007</v>
      </c>
      <c r="C9" s="115"/>
      <c r="D9" s="115">
        <f>D7*0.5</f>
        <v>785821068.83000028</v>
      </c>
      <c r="E9" s="115"/>
    </row>
    <row r="10" spans="1:5" ht="15.75">
      <c r="A10" s="117" t="s">
        <v>5357</v>
      </c>
      <c r="B10" s="115">
        <f>B7-B9</f>
        <v>1718229072.6850007</v>
      </c>
      <c r="C10" s="115"/>
      <c r="D10" s="115">
        <f>D7-D9</f>
        <v>785821068.83000028</v>
      </c>
      <c r="E10" s="115"/>
    </row>
    <row r="12" spans="1:5" ht="16.5" thickBot="1">
      <c r="A12" s="140" t="s">
        <v>4014</v>
      </c>
      <c r="B12" s="140"/>
      <c r="C12" s="140"/>
      <c r="D12" s="140"/>
      <c r="E12" s="140"/>
    </row>
    <row r="14" spans="1:5" ht="15.75">
      <c r="A14" s="117" t="s">
        <v>5374</v>
      </c>
      <c r="B14" s="115">
        <f>'North All Public Works Projects'!C1</f>
        <v>427373376.99199998</v>
      </c>
      <c r="D14" s="115">
        <f>'North All Public Works Projects'!C2</f>
        <v>560677441.88000011</v>
      </c>
    </row>
    <row r="15" spans="1:5" ht="15.75">
      <c r="A15" s="117" t="s">
        <v>5375</v>
      </c>
      <c r="B15" s="135">
        <f>'North NSHE &amp; School District'!C1</f>
        <v>134316280.792</v>
      </c>
      <c r="C15" s="115"/>
      <c r="D15" s="135">
        <f>'North NSHE &amp; School District'!C2</f>
        <v>89853923.320000008</v>
      </c>
      <c r="E15" s="115"/>
    </row>
    <row r="16" spans="1:5" ht="15.75">
      <c r="A16" s="136" t="s">
        <v>3985</v>
      </c>
      <c r="B16" s="137">
        <f>SUM(B14:B15)</f>
        <v>561689657.78399992</v>
      </c>
      <c r="C16" s="137"/>
      <c r="D16" s="137">
        <f>SUM(D14:D15)</f>
        <v>650531365.20000017</v>
      </c>
      <c r="E16" s="137"/>
    </row>
    <row r="18" spans="1:4" ht="15.75">
      <c r="A18" s="117" t="s">
        <v>5356</v>
      </c>
      <c r="B18" s="115">
        <f>B16*0.5</f>
        <v>280844828.89199996</v>
      </c>
      <c r="D18" s="115">
        <f>D16*0.5</f>
        <v>325265682.60000008</v>
      </c>
    </row>
    <row r="19" spans="1:4" ht="15.75">
      <c r="A19" s="117" t="s">
        <v>5357</v>
      </c>
      <c r="B19" s="115">
        <f>B16-B18</f>
        <v>280844828.89199996</v>
      </c>
      <c r="D19" s="115">
        <f>D16-D18</f>
        <v>325265682.60000008</v>
      </c>
    </row>
    <row r="20" spans="1:4" ht="15.75">
      <c r="A20" s="117"/>
      <c r="B20" s="115"/>
      <c r="D20" s="115"/>
    </row>
    <row r="21" spans="1:4" ht="15.75">
      <c r="A21" s="117"/>
      <c r="B21" s="115"/>
      <c r="D21" s="115"/>
    </row>
  </sheetData>
  <mergeCells count="2">
    <mergeCell ref="A2:E2"/>
    <mergeCell ref="A12:E1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51"/>
  <sheetViews>
    <sheetView tabSelected="1" workbookViewId="0">
      <selection activeCell="N14" sqref="N14"/>
    </sheetView>
  </sheetViews>
  <sheetFormatPr defaultRowHeight="12.75"/>
  <cols>
    <col min="1" max="1" width="37.28515625" customWidth="1"/>
    <col min="2" max="2" width="9" customWidth="1"/>
    <col min="3" max="3" width="10.42578125" customWidth="1"/>
    <col min="4" max="4" width="10.5703125" customWidth="1"/>
    <col min="6" max="6" width="18.140625" customWidth="1"/>
    <col min="7" max="7" width="8" customWidth="1"/>
    <col min="8" max="8" width="11.140625" customWidth="1"/>
    <col min="9" max="9" width="12" customWidth="1"/>
    <col min="10" max="10" width="7.42578125" customWidth="1"/>
    <col min="11" max="11" width="14.85546875" customWidth="1"/>
    <col min="12" max="12" width="10.5703125" customWidth="1"/>
  </cols>
  <sheetData>
    <row r="1" spans="1:12" ht="59.25" customHeight="1">
      <c r="A1" s="48" t="s">
        <v>4012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8" t="s">
        <v>3980</v>
      </c>
      <c r="B2" s="8"/>
      <c r="C2" s="19"/>
      <c r="D2" s="21">
        <f>AVERAGE(D4:D246)</f>
        <v>-7.8248950135019184E-3</v>
      </c>
      <c r="F2" s="21">
        <f>AVERAGE(F4:F246)</f>
        <v>-7.6544914172272851E-3</v>
      </c>
      <c r="H2" s="21">
        <f>AVERAGE(H4:H246)</f>
        <v>1.3365224272803487E-2</v>
      </c>
      <c r="I2" s="21">
        <f>AVERAGE(I4:I246)</f>
        <v>1.3993465106505455E-4</v>
      </c>
      <c r="L2" s="21">
        <f>AVERAGE(L4:L246)</f>
        <v>0.54195631475689821</v>
      </c>
    </row>
    <row r="3" spans="1:12">
      <c r="J3" s="9"/>
      <c r="K3" s="9"/>
    </row>
    <row r="4" spans="1:12">
      <c r="A4" s="2" t="s">
        <v>3500</v>
      </c>
      <c r="B4" s="1"/>
      <c r="C4" s="8" t="s">
        <v>3479</v>
      </c>
      <c r="D4" s="8"/>
      <c r="E4" s="44"/>
      <c r="F4" s="43"/>
      <c r="G4" s="23" t="s">
        <v>3983</v>
      </c>
      <c r="H4" s="43">
        <f>AVERAGE(F5:F7)</f>
        <v>0.45080349591203839</v>
      </c>
      <c r="I4" s="43"/>
      <c r="J4" s="44"/>
      <c r="K4" s="44"/>
      <c r="L4" s="43"/>
    </row>
    <row r="5" spans="1:12">
      <c r="A5" s="1" t="s">
        <v>3750</v>
      </c>
      <c r="B5" s="7">
        <v>58.52</v>
      </c>
      <c r="C5" s="7">
        <v>48.35</v>
      </c>
      <c r="D5" s="16">
        <f>(C5-B5)/B5</f>
        <v>-0.17378673957621327</v>
      </c>
      <c r="E5" s="9">
        <v>35.47</v>
      </c>
      <c r="F5" s="16">
        <f>(C5-E5)/E5</f>
        <v>0.36312376656329298</v>
      </c>
      <c r="G5" s="40"/>
      <c r="H5" s="16"/>
      <c r="I5" s="16"/>
      <c r="J5" s="9"/>
      <c r="K5" s="9"/>
      <c r="L5" s="16"/>
    </row>
    <row r="6" spans="1:12">
      <c r="A6" s="1" t="s">
        <v>3751</v>
      </c>
      <c r="B6" s="7">
        <v>62.95</v>
      </c>
      <c r="C6" s="7">
        <v>51.46</v>
      </c>
      <c r="D6" s="16">
        <f>(C6-B6)/B6</f>
        <v>-0.18252581413820496</v>
      </c>
      <c r="E6" s="9">
        <v>35.47</v>
      </c>
      <c r="F6" s="16">
        <f>(C6-E6)/E6</f>
        <v>0.45080349591203839</v>
      </c>
      <c r="G6" s="40"/>
      <c r="H6" s="16"/>
      <c r="I6" s="16"/>
      <c r="J6" s="9"/>
      <c r="K6" s="9"/>
      <c r="L6" s="16"/>
    </row>
    <row r="7" spans="1:12">
      <c r="A7" s="1" t="s">
        <v>3752</v>
      </c>
      <c r="B7" s="7">
        <v>67.37</v>
      </c>
      <c r="C7" s="7">
        <v>54.57</v>
      </c>
      <c r="D7" s="16">
        <f>(C7-B7)/B7</f>
        <v>-0.18999554697936771</v>
      </c>
      <c r="E7" s="9">
        <v>35.47</v>
      </c>
      <c r="F7" s="16">
        <f>(C7-E7)/E7</f>
        <v>0.53848322526078385</v>
      </c>
      <c r="G7" s="40"/>
      <c r="H7" s="16"/>
      <c r="I7" s="16"/>
      <c r="J7" s="9"/>
      <c r="K7" s="9"/>
      <c r="L7" s="16"/>
    </row>
    <row r="8" spans="1:12">
      <c r="A8" s="1"/>
      <c r="B8" s="7"/>
      <c r="C8" s="7"/>
      <c r="D8" s="16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31" t="s">
        <v>3487</v>
      </c>
      <c r="D9" s="43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>
      <c r="A10" s="1" t="s">
        <v>3675</v>
      </c>
      <c r="B10" s="7">
        <v>30.88</v>
      </c>
      <c r="C10" s="7">
        <v>22</v>
      </c>
      <c r="D10" s="16">
        <f>(C10-B10)/B10</f>
        <v>-0.28756476683937821</v>
      </c>
      <c r="E10" s="9">
        <v>22</v>
      </c>
      <c r="F10" s="16">
        <f>(C10-E10)/E10</f>
        <v>0</v>
      </c>
      <c r="G10" s="40"/>
      <c r="H10" s="16"/>
      <c r="I10" s="16"/>
      <c r="J10" s="9"/>
      <c r="K10" s="9"/>
      <c r="L10" s="16"/>
    </row>
    <row r="11" spans="1:12">
      <c r="A11" s="1"/>
      <c r="B11" s="7"/>
      <c r="C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>
      <c r="A12" s="2" t="s">
        <v>3507</v>
      </c>
      <c r="B12" s="11" t="s">
        <v>3534</v>
      </c>
      <c r="C12" s="31" t="s">
        <v>3981</v>
      </c>
      <c r="D12" s="43"/>
      <c r="E12" s="44"/>
      <c r="F12" s="16"/>
      <c r="G12" s="23" t="s">
        <v>3983</v>
      </c>
      <c r="H12" s="43">
        <f>AVERAGE(F13:F15)</f>
        <v>1.8693032596941044E-2</v>
      </c>
      <c r="I12" s="43"/>
      <c r="J12" s="44"/>
      <c r="K12" s="44"/>
      <c r="L12" s="43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G14" s="40"/>
      <c r="H14" s="16"/>
      <c r="I14" s="16"/>
      <c r="J14" s="9"/>
      <c r="K14" s="9"/>
      <c r="L14" s="16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G15" s="40"/>
      <c r="H15" s="16"/>
      <c r="I15" s="16"/>
      <c r="J15" s="9"/>
      <c r="K15" s="9"/>
      <c r="L15" s="16"/>
    </row>
    <row r="16" spans="1:12">
      <c r="A16" s="1"/>
      <c r="B16" s="1"/>
      <c r="C16" s="7"/>
      <c r="D16" s="16"/>
      <c r="E16" s="9"/>
      <c r="F16" s="16"/>
      <c r="G16" s="40"/>
      <c r="H16" s="16"/>
      <c r="I16" s="16"/>
      <c r="J16" s="9"/>
      <c r="K16" s="9"/>
      <c r="L16" s="16"/>
    </row>
    <row r="17" spans="1:12" ht="38.25">
      <c r="A17" s="2" t="s">
        <v>3509</v>
      </c>
      <c r="B17" s="3" t="s">
        <v>3754</v>
      </c>
      <c r="C17" s="55" t="s">
        <v>3496</v>
      </c>
      <c r="D17" s="43"/>
      <c r="E17" s="44"/>
      <c r="F17" s="43"/>
      <c r="G17" s="23" t="s">
        <v>3983</v>
      </c>
      <c r="H17" s="43">
        <f>AVERAGE(F18)</f>
        <v>-0.28065155183799251</v>
      </c>
      <c r="I17" s="43"/>
      <c r="J17" s="44"/>
      <c r="K17" s="44"/>
      <c r="L17" s="43"/>
    </row>
    <row r="18" spans="1:12">
      <c r="A18" s="1" t="s">
        <v>3904</v>
      </c>
      <c r="B18" s="7">
        <v>32.68</v>
      </c>
      <c r="C18" s="7">
        <v>32.68</v>
      </c>
      <c r="D18" s="16">
        <f>(C18-B18)/B18</f>
        <v>0</v>
      </c>
      <c r="E18" s="9">
        <v>45.43</v>
      </c>
      <c r="F18" s="16">
        <f>(C18-E18)/E18</f>
        <v>-0.28065155183799251</v>
      </c>
      <c r="G18" s="40"/>
      <c r="H18" s="16"/>
      <c r="I18" s="16"/>
      <c r="J18" s="9"/>
      <c r="K18" s="9"/>
      <c r="L18" s="16"/>
    </row>
    <row r="19" spans="1:12">
      <c r="A19" s="1"/>
      <c r="B19" s="1"/>
      <c r="C19" s="7"/>
      <c r="D19" s="16"/>
      <c r="E19" s="9"/>
      <c r="F19" s="16"/>
      <c r="G19" s="40"/>
      <c r="H19" s="16"/>
      <c r="I19" s="16"/>
      <c r="J19" s="9"/>
      <c r="K19" s="9"/>
      <c r="L19" s="16"/>
    </row>
    <row r="20" spans="1:12" ht="38.25">
      <c r="A20" s="2" t="s">
        <v>3514</v>
      </c>
      <c r="B20" s="3" t="s">
        <v>3510</v>
      </c>
      <c r="C20" s="12" t="s">
        <v>3510</v>
      </c>
      <c r="D20" s="43"/>
      <c r="E20" s="44"/>
      <c r="F20" s="43"/>
      <c r="G20" s="23" t="s">
        <v>3983</v>
      </c>
      <c r="H20" s="43">
        <f>AVERAGE(F21)</f>
        <v>1.3054830287206267E-2</v>
      </c>
      <c r="I20" s="43"/>
      <c r="J20" s="44"/>
      <c r="K20" s="44"/>
      <c r="L20" s="43"/>
    </row>
    <row r="21" spans="1:12">
      <c r="A21" s="1" t="s">
        <v>3921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38.299999999999997</v>
      </c>
      <c r="F21" s="16">
        <f>(C21-E21)/E21</f>
        <v>1.3054830287206267E-2</v>
      </c>
      <c r="G21" s="40"/>
      <c r="H21" s="16"/>
      <c r="I21" s="16"/>
      <c r="J21" s="9"/>
      <c r="K21" s="9"/>
      <c r="L21" s="16"/>
    </row>
    <row r="22" spans="1:12">
      <c r="A22" s="1"/>
      <c r="B22" s="1"/>
      <c r="C22" s="7"/>
      <c r="D22" s="16"/>
      <c r="E22" s="9"/>
      <c r="F22" s="16"/>
      <c r="G22" s="40"/>
      <c r="H22" s="16"/>
      <c r="I22" s="16"/>
      <c r="J22" s="9"/>
      <c r="K22" s="9"/>
      <c r="L22" s="16"/>
    </row>
    <row r="23" spans="1:12">
      <c r="A23" s="2" t="s">
        <v>3517</v>
      </c>
      <c r="B23" s="1"/>
      <c r="C23" s="55" t="s">
        <v>3496</v>
      </c>
      <c r="D23" s="43"/>
      <c r="E23" s="44"/>
      <c r="F23" s="43"/>
      <c r="G23" s="23" t="s">
        <v>3983</v>
      </c>
      <c r="H23" s="43">
        <f>AVERAGE(F24:F26)</f>
        <v>3.875968992248062E-2</v>
      </c>
      <c r="I23" s="43"/>
      <c r="J23" s="44"/>
      <c r="K23" s="44"/>
      <c r="L23" s="43"/>
    </row>
    <row r="24" spans="1:12">
      <c r="A24" s="1" t="s">
        <v>3521</v>
      </c>
      <c r="B24" s="7">
        <v>34.4</v>
      </c>
      <c r="C24" s="7">
        <v>34.4</v>
      </c>
      <c r="D24" s="16">
        <f>(C24-B24)/B24</f>
        <v>0</v>
      </c>
      <c r="E24" s="9">
        <v>34.4</v>
      </c>
      <c r="F24" s="16">
        <f>(C24-E24)/E24</f>
        <v>0</v>
      </c>
      <c r="G24" s="40"/>
      <c r="H24" s="16"/>
      <c r="I24" s="16"/>
      <c r="J24" s="9"/>
      <c r="K24" s="9"/>
      <c r="L24" s="16"/>
    </row>
    <row r="25" spans="1:12">
      <c r="A25" s="1" t="s">
        <v>3522</v>
      </c>
      <c r="B25" s="7">
        <v>36.4</v>
      </c>
      <c r="C25" s="7">
        <v>36.4</v>
      </c>
      <c r="D25" s="16">
        <f>(C25-B25)/B25</f>
        <v>0</v>
      </c>
      <c r="E25" s="9">
        <v>34.4</v>
      </c>
      <c r="F25" s="16">
        <f>(C25-E25)/E25</f>
        <v>5.8139534883720929E-2</v>
      </c>
      <c r="G25" s="40"/>
      <c r="H25" s="16"/>
      <c r="I25" s="16"/>
      <c r="J25" s="9"/>
      <c r="K25" s="9"/>
      <c r="L25" s="16"/>
    </row>
    <row r="26" spans="1:12">
      <c r="A26" s="1" t="s">
        <v>3757</v>
      </c>
      <c r="B26" s="7">
        <v>36.4</v>
      </c>
      <c r="C26" s="7">
        <v>36.4</v>
      </c>
      <c r="D26" s="16">
        <f>(C26-B26)/B26</f>
        <v>0</v>
      </c>
      <c r="E26" s="9">
        <v>34.4</v>
      </c>
      <c r="F26" s="16">
        <f>(C26-E26)/E26</f>
        <v>5.8139534883720929E-2</v>
      </c>
      <c r="G26" s="40"/>
      <c r="H26" s="16"/>
      <c r="I26" s="16"/>
      <c r="J26" s="9"/>
      <c r="K26" s="9"/>
      <c r="L26" s="16"/>
    </row>
    <row r="27" spans="1:12">
      <c r="A27" s="143"/>
      <c r="B27" s="143"/>
      <c r="C27" s="7"/>
      <c r="D27" s="16"/>
      <c r="E27" s="9"/>
      <c r="F27" s="16"/>
      <c r="G27" s="40"/>
      <c r="H27" s="16"/>
      <c r="I27" s="16"/>
      <c r="J27" s="9"/>
      <c r="K27" s="9"/>
      <c r="L27" s="16"/>
    </row>
    <row r="28" spans="1:12" ht="25.5">
      <c r="A28" s="2" t="s">
        <v>3676</v>
      </c>
      <c r="B28" s="1"/>
      <c r="C28" s="31"/>
      <c r="D28" s="43"/>
      <c r="E28" s="44"/>
      <c r="F28" s="43"/>
      <c r="G28" s="23" t="s">
        <v>3984</v>
      </c>
      <c r="H28" s="43"/>
      <c r="I28" s="43">
        <f>AVERAGE(F29)</f>
        <v>0</v>
      </c>
      <c r="J28" s="44"/>
      <c r="K28" s="44"/>
      <c r="L28" s="43"/>
    </row>
    <row r="29" spans="1:12">
      <c r="A29" s="1" t="s">
        <v>3929</v>
      </c>
      <c r="B29" s="7">
        <v>38.72</v>
      </c>
      <c r="C29" s="7">
        <v>17.489999999999998</v>
      </c>
      <c r="D29" s="16">
        <f>(C29-B29)/B29</f>
        <v>-0.54829545454545459</v>
      </c>
      <c r="E29" s="9">
        <v>17.489999999999998</v>
      </c>
      <c r="F29" s="16">
        <f>(C29-E29)/E29</f>
        <v>0</v>
      </c>
      <c r="G29" s="40"/>
      <c r="H29" s="16"/>
      <c r="I29" s="16"/>
      <c r="J29" s="9"/>
      <c r="K29" s="9"/>
      <c r="L29" s="16"/>
    </row>
    <row r="30" spans="1:12">
      <c r="A30" s="1"/>
      <c r="B30" s="1"/>
      <c r="C30" s="7"/>
      <c r="D30" s="16"/>
      <c r="E30" s="9"/>
      <c r="F30" s="16"/>
      <c r="G30" s="40"/>
      <c r="H30" s="16"/>
      <c r="I30" s="16"/>
      <c r="J30" s="9"/>
      <c r="K30" s="9"/>
      <c r="L30" s="16"/>
    </row>
    <row r="31" spans="1:12" ht="38.25">
      <c r="A31" s="2" t="s">
        <v>3763</v>
      </c>
      <c r="B31" s="5" t="s">
        <v>3534</v>
      </c>
      <c r="C31" s="33" t="s">
        <v>3534</v>
      </c>
      <c r="D31" s="43"/>
      <c r="E31" s="44"/>
      <c r="F31" s="43"/>
      <c r="G31" s="23" t="s">
        <v>3983</v>
      </c>
      <c r="H31" s="43">
        <f>AVERAGE(F32:F36)</f>
        <v>-2.2260273972602725E-2</v>
      </c>
      <c r="I31" s="43"/>
      <c r="J31" s="44"/>
      <c r="K31" s="44"/>
      <c r="L31" s="43"/>
    </row>
    <row r="32" spans="1:12">
      <c r="A32" s="1" t="s">
        <v>3528</v>
      </c>
      <c r="B32" s="7">
        <v>34.82</v>
      </c>
      <c r="C32" s="7">
        <v>40.5</v>
      </c>
      <c r="D32" s="16">
        <f>(C32-B32)/B32</f>
        <v>0.16312464101091326</v>
      </c>
      <c r="E32" s="9">
        <v>58.4</v>
      </c>
      <c r="F32" s="16">
        <f>(C32-E32)/E32</f>
        <v>-0.3065068493150685</v>
      </c>
      <c r="G32" s="40"/>
      <c r="H32" s="16"/>
      <c r="I32" s="16"/>
      <c r="J32" s="9"/>
      <c r="K32" s="9"/>
      <c r="L32" s="16"/>
    </row>
    <row r="33" spans="1:12">
      <c r="A33" s="1" t="s">
        <v>3529</v>
      </c>
      <c r="B33" s="7">
        <v>51.95</v>
      </c>
      <c r="C33" s="7">
        <v>59.9</v>
      </c>
      <c r="D33" s="16">
        <f>(C33-B33)/B33</f>
        <v>0.15303176130895083</v>
      </c>
      <c r="E33" s="9">
        <v>58.4</v>
      </c>
      <c r="F33" s="16">
        <f>(C33-E33)/E33</f>
        <v>2.5684931506849317E-2</v>
      </c>
      <c r="G33" s="40"/>
      <c r="H33" s="16"/>
      <c r="I33" s="16"/>
      <c r="J33" s="9"/>
      <c r="K33" s="9"/>
      <c r="L33" s="16"/>
    </row>
    <row r="34" spans="1:12">
      <c r="A34" s="1" t="s">
        <v>3530</v>
      </c>
      <c r="B34" s="7">
        <v>56.89</v>
      </c>
      <c r="C34" s="7">
        <v>65.16</v>
      </c>
      <c r="D34" s="16">
        <f>(C34-B34)/B34</f>
        <v>0.14536825452627872</v>
      </c>
      <c r="E34" s="9">
        <v>58.4</v>
      </c>
      <c r="F34" s="16">
        <f>(C34-E34)/E34</f>
        <v>0.11575342465753422</v>
      </c>
      <c r="G34" s="40"/>
      <c r="H34" s="16"/>
      <c r="I34" s="16"/>
      <c r="J34" s="9"/>
      <c r="K34" s="9"/>
      <c r="L34" s="16"/>
    </row>
    <row r="35" spans="1:12">
      <c r="A35" s="1" t="s">
        <v>3531</v>
      </c>
      <c r="B35" s="7">
        <v>61.9</v>
      </c>
      <c r="C35" s="7">
        <v>70.45</v>
      </c>
      <c r="D35" s="16">
        <f>(C35-B35)/B35</f>
        <v>0.13812600969305339</v>
      </c>
      <c r="E35" s="9">
        <v>58.4</v>
      </c>
      <c r="F35" s="16">
        <f>(C35-E35)/E35</f>
        <v>0.20633561643835624</v>
      </c>
      <c r="G35" s="40"/>
      <c r="H35" s="16"/>
      <c r="I35" s="16"/>
      <c r="J35" s="9"/>
      <c r="K35" s="9"/>
      <c r="L35" s="16"/>
    </row>
    <row r="36" spans="1:12">
      <c r="A36" s="1" t="s">
        <v>3532</v>
      </c>
      <c r="B36" s="7">
        <v>42.69</v>
      </c>
      <c r="C36" s="7">
        <v>49.49</v>
      </c>
      <c r="D36" s="16">
        <f>(C36-B36)/B36</f>
        <v>0.1592878894354651</v>
      </c>
      <c r="E36" s="9">
        <v>58.4</v>
      </c>
      <c r="F36" s="16">
        <f>(C36-E36)/E36</f>
        <v>-0.15256849315068488</v>
      </c>
      <c r="G36" s="40"/>
      <c r="H36" s="16"/>
      <c r="I36" s="16"/>
      <c r="J36" s="9"/>
      <c r="K36" s="9"/>
      <c r="L36" s="16"/>
    </row>
    <row r="37" spans="1:12">
      <c r="A37" s="1"/>
      <c r="B37" s="7"/>
      <c r="C37" s="7"/>
      <c r="D37" s="16"/>
      <c r="E37" s="9"/>
      <c r="F37" s="16"/>
      <c r="G37" s="40"/>
      <c r="H37" s="16"/>
      <c r="I37" s="16"/>
      <c r="J37" s="9"/>
      <c r="K37" s="9"/>
      <c r="L37" s="16"/>
    </row>
    <row r="38" spans="1:12">
      <c r="A38" s="1"/>
      <c r="B38" s="7"/>
      <c r="C38" s="7"/>
      <c r="D38" s="16"/>
      <c r="E38" s="9"/>
      <c r="F38" s="16"/>
      <c r="G38" s="40"/>
      <c r="H38" s="16"/>
      <c r="I38" s="16"/>
      <c r="J38" s="9"/>
      <c r="K38" s="9"/>
      <c r="L38" s="16"/>
    </row>
    <row r="39" spans="1:12">
      <c r="A39" s="2" t="s">
        <v>3533</v>
      </c>
      <c r="B39" s="7"/>
      <c r="C39" s="31" t="s">
        <v>3981</v>
      </c>
      <c r="D39" s="43"/>
      <c r="E39" s="44"/>
      <c r="F39" s="43"/>
      <c r="G39" s="23" t="s">
        <v>3983</v>
      </c>
      <c r="H39" s="43">
        <f>AVERAGE(F40)</f>
        <v>5.7445868316395301E-3</v>
      </c>
      <c r="I39" s="43"/>
      <c r="J39" s="44"/>
      <c r="K39" s="44"/>
      <c r="L39" s="43"/>
    </row>
    <row r="40" spans="1:12">
      <c r="A40" s="1" t="s">
        <v>3535</v>
      </c>
      <c r="B40" s="7">
        <v>44.31</v>
      </c>
      <c r="C40" s="7">
        <v>45.52</v>
      </c>
      <c r="D40" s="16">
        <f>(C40-B40)/B40</f>
        <v>2.7307605506657655E-2</v>
      </c>
      <c r="E40" s="9">
        <v>45.26</v>
      </c>
      <c r="F40" s="16">
        <f>(C40-E40)/E40</f>
        <v>5.7445868316395301E-3</v>
      </c>
      <c r="G40" s="40"/>
      <c r="H40" s="16"/>
      <c r="I40" s="16"/>
      <c r="J40" s="9"/>
      <c r="K40" s="9"/>
      <c r="L40" s="16"/>
    </row>
    <row r="41" spans="1:12">
      <c r="A41" s="1"/>
      <c r="B41" s="7"/>
      <c r="C41" s="7"/>
      <c r="D41" s="16"/>
      <c r="E41" s="9"/>
      <c r="F41" s="16"/>
      <c r="G41" s="40"/>
      <c r="H41" s="16"/>
      <c r="I41" s="16"/>
      <c r="J41" s="9"/>
      <c r="K41" s="9"/>
      <c r="L41" s="16"/>
    </row>
    <row r="42" spans="1:12">
      <c r="A42" s="2" t="s">
        <v>3536</v>
      </c>
      <c r="B42" s="11" t="s">
        <v>3534</v>
      </c>
      <c r="C42" s="33" t="s">
        <v>3534</v>
      </c>
      <c r="D42" s="43"/>
      <c r="E42" s="44"/>
      <c r="F42" s="43"/>
      <c r="G42" s="23" t="s">
        <v>3983</v>
      </c>
      <c r="H42" s="43">
        <f>AVERAGE(F43)</f>
        <v>2.6273241713823853E-2</v>
      </c>
      <c r="I42" s="43"/>
      <c r="J42" s="44"/>
      <c r="K42" s="44"/>
      <c r="L42" s="43"/>
    </row>
    <row r="43" spans="1:12">
      <c r="A43" s="1" t="s">
        <v>3975</v>
      </c>
      <c r="B43" s="7">
        <v>29.98</v>
      </c>
      <c r="C43" s="7">
        <v>50.78</v>
      </c>
      <c r="D43" s="16">
        <f>(C43-B43)/B43</f>
        <v>0.69379586390927284</v>
      </c>
      <c r="E43" s="9">
        <v>49.48</v>
      </c>
      <c r="F43" s="16">
        <f>(C43-E43)/E43</f>
        <v>2.6273241713823853E-2</v>
      </c>
      <c r="G43" s="40"/>
      <c r="H43" s="16"/>
      <c r="I43" s="16"/>
      <c r="J43" s="9">
        <v>20.34</v>
      </c>
      <c r="K43" s="9">
        <f>J43*1.4</f>
        <v>28.475999999999999</v>
      </c>
      <c r="L43" s="16">
        <f>(C43-K43)/K43</f>
        <v>0.78325607529147356</v>
      </c>
    </row>
    <row r="44" spans="1:12">
      <c r="A44" s="1"/>
      <c r="B44" s="7"/>
      <c r="C44" s="7"/>
      <c r="D44" s="16"/>
      <c r="E44" s="9"/>
      <c r="F44" s="16"/>
      <c r="G44" s="40"/>
      <c r="H44" s="16"/>
      <c r="I44" s="16"/>
      <c r="J44" s="9"/>
      <c r="K44" s="9">
        <f t="shared" ref="K44:K107" si="0">J44*1.4</f>
        <v>0</v>
      </c>
      <c r="L44" s="16"/>
    </row>
    <row r="45" spans="1:12">
      <c r="A45" s="2" t="s">
        <v>3541</v>
      </c>
      <c r="B45" s="11" t="s">
        <v>3534</v>
      </c>
      <c r="C45" s="55" t="s">
        <v>3487</v>
      </c>
      <c r="D45" s="43"/>
      <c r="E45" s="44"/>
      <c r="F45" s="43"/>
      <c r="G45" s="23" t="s">
        <v>3983</v>
      </c>
      <c r="H45" s="43">
        <f>AVERAGE(F46:F47)</f>
        <v>3.0887736424649148E-2</v>
      </c>
      <c r="I45" s="43"/>
      <c r="J45" s="44"/>
      <c r="K45" s="9">
        <f t="shared" si="0"/>
        <v>0</v>
      </c>
      <c r="L45" s="43"/>
    </row>
    <row r="46" spans="1:12" ht="25.5">
      <c r="A46" s="1" t="s">
        <v>3542</v>
      </c>
      <c r="B46" s="7">
        <v>46.01</v>
      </c>
      <c r="C46" s="7">
        <v>64.58</v>
      </c>
      <c r="D46" s="16">
        <f>(C46-B46)/B46</f>
        <v>0.40360791132362533</v>
      </c>
      <c r="E46" s="9">
        <v>65.56</v>
      </c>
      <c r="F46" s="16">
        <f>(C46-E46)/E46</f>
        <v>-1.4948139109212995E-2</v>
      </c>
      <c r="G46" s="40"/>
      <c r="H46" s="16"/>
      <c r="I46" s="16"/>
      <c r="J46" s="9"/>
      <c r="K46" s="9">
        <f t="shared" si="0"/>
        <v>0</v>
      </c>
      <c r="L46" s="16"/>
    </row>
    <row r="47" spans="1:12">
      <c r="A47" s="1" t="s">
        <v>3769</v>
      </c>
      <c r="B47" s="7">
        <v>46.01</v>
      </c>
      <c r="C47" s="7">
        <v>70.59</v>
      </c>
      <c r="D47" s="16">
        <f>(C47-B47)/B47</f>
        <v>0.53423168876331251</v>
      </c>
      <c r="E47" s="9">
        <v>65.56</v>
      </c>
      <c r="F47" s="16">
        <f>(C47-E47)/E47</f>
        <v>7.6723611958511295E-2</v>
      </c>
      <c r="G47" s="40"/>
      <c r="H47" s="16"/>
      <c r="I47" s="16"/>
      <c r="J47" s="9"/>
      <c r="K47" s="9">
        <f t="shared" si="0"/>
        <v>0</v>
      </c>
      <c r="L47" s="16"/>
    </row>
    <row r="48" spans="1:12">
      <c r="A48" s="1"/>
      <c r="B48" s="7"/>
      <c r="C48" s="7"/>
      <c r="D48" s="16"/>
      <c r="E48" s="9"/>
      <c r="F48" s="16"/>
      <c r="G48" s="40"/>
      <c r="H48" s="16"/>
      <c r="I48" s="16"/>
      <c r="J48" s="9"/>
      <c r="K48" s="9">
        <f t="shared" si="0"/>
        <v>0</v>
      </c>
      <c r="L48" s="16"/>
    </row>
    <row r="49" spans="1:12">
      <c r="A49" s="2" t="s">
        <v>3976</v>
      </c>
      <c r="B49" s="7"/>
      <c r="C49" s="55" t="s">
        <v>3487</v>
      </c>
      <c r="D49" s="43"/>
      <c r="E49" s="44"/>
      <c r="F49" s="43"/>
      <c r="G49" s="23" t="s">
        <v>3984</v>
      </c>
      <c r="H49" s="43"/>
      <c r="I49" s="43">
        <f>AVERAGE(F50)</f>
        <v>0</v>
      </c>
      <c r="J49" s="44"/>
      <c r="K49" s="9">
        <f t="shared" si="0"/>
        <v>0</v>
      </c>
      <c r="L49" s="43"/>
    </row>
    <row r="50" spans="1:12">
      <c r="A50" s="1" t="s">
        <v>3545</v>
      </c>
      <c r="B50" s="7">
        <v>13</v>
      </c>
      <c r="C50" s="7">
        <v>18.43</v>
      </c>
      <c r="D50" s="16">
        <f>(C50-B50)/B50</f>
        <v>0.4176923076923077</v>
      </c>
      <c r="E50" s="9">
        <v>18.43</v>
      </c>
      <c r="F50" s="16">
        <f>(C50-E50)/E50</f>
        <v>0</v>
      </c>
      <c r="G50" s="40"/>
      <c r="H50" s="16"/>
      <c r="I50" s="16"/>
      <c r="J50" s="9"/>
      <c r="K50" s="9">
        <f t="shared" si="0"/>
        <v>0</v>
      </c>
      <c r="L50" s="16"/>
    </row>
    <row r="51" spans="1:12">
      <c r="A51" s="1"/>
      <c r="B51" s="1"/>
      <c r="C51" s="7"/>
      <c r="D51" s="16"/>
      <c r="E51" s="9"/>
      <c r="F51" s="16"/>
      <c r="G51" s="40"/>
      <c r="H51" s="16"/>
      <c r="I51" s="16"/>
      <c r="J51" s="9"/>
      <c r="K51" s="9">
        <f t="shared" si="0"/>
        <v>0</v>
      </c>
      <c r="L51" s="16"/>
    </row>
    <row r="52" spans="1:12" ht="51">
      <c r="A52" s="2" t="s">
        <v>3546</v>
      </c>
      <c r="B52" s="3" t="s">
        <v>3547</v>
      </c>
      <c r="C52" s="55" t="s">
        <v>4013</v>
      </c>
      <c r="D52" s="16"/>
      <c r="E52" s="9"/>
      <c r="F52" s="16"/>
      <c r="G52" s="40"/>
      <c r="H52" s="16"/>
      <c r="I52" s="16"/>
      <c r="J52" s="9"/>
      <c r="K52" s="9">
        <f t="shared" si="0"/>
        <v>0</v>
      </c>
      <c r="L52" s="16"/>
    </row>
    <row r="53" spans="1:12">
      <c r="A53" s="1" t="s">
        <v>3548</v>
      </c>
      <c r="B53" s="7">
        <v>27.95</v>
      </c>
      <c r="C53" s="7">
        <v>27.95</v>
      </c>
      <c r="D53" s="16">
        <f>(C53-B53)/B53</f>
        <v>0</v>
      </c>
      <c r="E53" s="9"/>
      <c r="F53" s="16"/>
      <c r="G53" s="40"/>
      <c r="H53" s="16"/>
      <c r="I53" s="16"/>
      <c r="J53" s="9"/>
      <c r="K53" s="9">
        <f t="shared" si="0"/>
        <v>0</v>
      </c>
      <c r="L53" s="16"/>
    </row>
    <row r="54" spans="1:12">
      <c r="A54" s="1"/>
      <c r="B54" s="1"/>
      <c r="C54" s="7"/>
      <c r="D54" s="16"/>
      <c r="E54" s="9"/>
      <c r="F54" s="16"/>
      <c r="G54" s="40"/>
      <c r="H54" s="16"/>
      <c r="I54" s="16"/>
      <c r="J54" s="9"/>
      <c r="K54" s="9">
        <f t="shared" si="0"/>
        <v>0</v>
      </c>
      <c r="L54" s="16"/>
    </row>
    <row r="55" spans="1:12">
      <c r="A55" s="2" t="s">
        <v>3549</v>
      </c>
      <c r="B55" s="1"/>
      <c r="C55" s="31" t="s">
        <v>3981</v>
      </c>
      <c r="D55" s="43"/>
      <c r="E55" s="44"/>
      <c r="F55" s="43"/>
      <c r="G55" s="23" t="s">
        <v>3983</v>
      </c>
      <c r="H55" s="43">
        <f>AVERAGE(F56:F57)</f>
        <v>4.0111291444470135E-2</v>
      </c>
      <c r="I55" s="43"/>
      <c r="J55" s="44"/>
      <c r="K55" s="9">
        <f t="shared" si="0"/>
        <v>0</v>
      </c>
      <c r="L55" s="43"/>
    </row>
    <row r="56" spans="1:12">
      <c r="A56" s="1" t="s">
        <v>3550</v>
      </c>
      <c r="B56" s="7">
        <v>36.26</v>
      </c>
      <c r="C56" s="7">
        <v>42.4</v>
      </c>
      <c r="D56" s="16">
        <f>(C56-B56)/B56</f>
        <v>0.16933259790402649</v>
      </c>
      <c r="E56" s="9">
        <v>43.13</v>
      </c>
      <c r="F56" s="16">
        <f>(C56-E56)/E56</f>
        <v>-1.6925573846510642E-2</v>
      </c>
      <c r="G56" s="40"/>
      <c r="H56" s="16"/>
      <c r="I56" s="16"/>
      <c r="J56" s="9"/>
      <c r="K56" s="9">
        <f t="shared" si="0"/>
        <v>0</v>
      </c>
      <c r="L56" s="16"/>
    </row>
    <row r="57" spans="1:12">
      <c r="A57" s="1" t="s">
        <v>3551</v>
      </c>
      <c r="B57" s="7">
        <v>38.9</v>
      </c>
      <c r="C57" s="7">
        <v>47.32</v>
      </c>
      <c r="D57" s="16">
        <f>(C57-B57)/B57</f>
        <v>0.21645244215938308</v>
      </c>
      <c r="E57" s="9">
        <v>43.13</v>
      </c>
      <c r="F57" s="16">
        <f>(C57-E57)/E57</f>
        <v>9.7148156735450908E-2</v>
      </c>
      <c r="G57" s="40"/>
      <c r="H57" s="16"/>
      <c r="I57" s="16"/>
      <c r="J57" s="9"/>
      <c r="K57" s="9">
        <f t="shared" si="0"/>
        <v>0</v>
      </c>
      <c r="L57" s="16"/>
    </row>
    <row r="58" spans="1:12">
      <c r="A58" s="1"/>
      <c r="B58" s="1"/>
      <c r="C58" s="7"/>
      <c r="D58" s="16"/>
      <c r="E58" s="9"/>
      <c r="F58" s="16"/>
      <c r="G58" s="40"/>
      <c r="H58" s="16"/>
      <c r="I58" s="16"/>
      <c r="J58" s="9"/>
      <c r="K58" s="9">
        <f t="shared" si="0"/>
        <v>0</v>
      </c>
      <c r="L58" s="16"/>
    </row>
    <row r="59" spans="1:12">
      <c r="A59" s="2" t="s">
        <v>3552</v>
      </c>
      <c r="B59" s="5" t="s">
        <v>3534</v>
      </c>
      <c r="C59" s="55" t="s">
        <v>3487</v>
      </c>
      <c r="D59" s="43"/>
      <c r="E59" s="44"/>
      <c r="F59" s="43"/>
      <c r="G59" s="23" t="s">
        <v>3984</v>
      </c>
      <c r="H59" s="43"/>
      <c r="I59" s="43">
        <f>AVERAGE(F60)</f>
        <v>0</v>
      </c>
      <c r="J59" s="44"/>
      <c r="K59" s="9">
        <f t="shared" si="0"/>
        <v>0</v>
      </c>
      <c r="L59" s="43"/>
    </row>
    <row r="60" spans="1:12">
      <c r="A60" s="1" t="s">
        <v>3553</v>
      </c>
      <c r="B60" s="7">
        <v>21.5</v>
      </c>
      <c r="C60" s="7">
        <v>21.5</v>
      </c>
      <c r="D60" s="16">
        <f>(C60-B60)/B60</f>
        <v>0</v>
      </c>
      <c r="E60" s="9">
        <v>21.5</v>
      </c>
      <c r="F60" s="16">
        <f>(C60-E60)/E60</f>
        <v>0</v>
      </c>
      <c r="G60" s="40"/>
      <c r="H60" s="16"/>
      <c r="I60" s="16"/>
      <c r="J60" s="9"/>
      <c r="K60" s="9">
        <f t="shared" si="0"/>
        <v>0</v>
      </c>
      <c r="L60" s="16"/>
    </row>
    <row r="61" spans="1:12">
      <c r="A61" s="1"/>
      <c r="B61" s="1"/>
      <c r="C61" s="7"/>
      <c r="D61" s="16"/>
      <c r="E61" s="9"/>
      <c r="F61" s="16"/>
      <c r="G61" s="40"/>
      <c r="H61" s="16"/>
      <c r="I61" s="16"/>
      <c r="J61" s="9"/>
      <c r="K61" s="9">
        <f t="shared" si="0"/>
        <v>0</v>
      </c>
      <c r="L61" s="16"/>
    </row>
    <row r="62" spans="1:12" ht="51">
      <c r="A62" s="2" t="s">
        <v>3554</v>
      </c>
      <c r="B62" s="3" t="s">
        <v>3547</v>
      </c>
      <c r="C62" s="12" t="s">
        <v>3547</v>
      </c>
      <c r="D62" s="43"/>
      <c r="E62" s="44"/>
      <c r="F62" s="43"/>
      <c r="G62" s="23" t="s">
        <v>3983</v>
      </c>
      <c r="H62" s="43">
        <f>AVERAGE(F63)</f>
        <v>0</v>
      </c>
      <c r="I62" s="43"/>
      <c r="J62" s="44"/>
      <c r="K62" s="9">
        <f t="shared" si="0"/>
        <v>0</v>
      </c>
      <c r="L62" s="43"/>
    </row>
    <row r="63" spans="1:12">
      <c r="A63" s="1" t="s">
        <v>3555</v>
      </c>
      <c r="B63" s="7">
        <v>33.57</v>
      </c>
      <c r="C63" s="7">
        <v>33.57</v>
      </c>
      <c r="D63" s="16">
        <f>(C63-B63)/B63</f>
        <v>0</v>
      </c>
      <c r="E63" s="9">
        <v>33.57</v>
      </c>
      <c r="F63" s="16">
        <f>(C63-E63)/E63</f>
        <v>0</v>
      </c>
      <c r="G63" s="40"/>
      <c r="H63" s="16"/>
      <c r="I63" s="16"/>
      <c r="J63" s="9"/>
      <c r="K63" s="9">
        <f t="shared" si="0"/>
        <v>0</v>
      </c>
      <c r="L63" s="16"/>
    </row>
    <row r="64" spans="1:12">
      <c r="A64" s="143"/>
      <c r="B64" s="143"/>
      <c r="C64" s="7"/>
      <c r="D64" s="16"/>
      <c r="E64" s="9"/>
      <c r="F64" s="16"/>
      <c r="G64" s="40"/>
      <c r="H64" s="16"/>
      <c r="I64" s="16"/>
      <c r="J64" s="9"/>
      <c r="K64" s="9">
        <f t="shared" si="0"/>
        <v>0</v>
      </c>
      <c r="L64" s="16"/>
    </row>
    <row r="65" spans="1:12">
      <c r="A65" s="2" t="s">
        <v>3556</v>
      </c>
      <c r="B65" s="1"/>
      <c r="C65" s="31" t="s">
        <v>3496</v>
      </c>
      <c r="D65" s="43"/>
      <c r="E65" s="44"/>
      <c r="F65" s="43"/>
      <c r="G65" s="23" t="s">
        <v>3983</v>
      </c>
      <c r="H65" s="43">
        <f>AVERAGE(F66:F67)</f>
        <v>2.3089355806972984E-2</v>
      </c>
      <c r="I65" s="43"/>
      <c r="J65" s="44"/>
      <c r="K65" s="9">
        <f t="shared" si="0"/>
        <v>0</v>
      </c>
      <c r="L65" s="43"/>
    </row>
    <row r="66" spans="1:12">
      <c r="A66" s="1" t="s">
        <v>3557</v>
      </c>
      <c r="B66" s="7">
        <v>43.31</v>
      </c>
      <c r="C66" s="7">
        <v>43.31</v>
      </c>
      <c r="D66" s="16">
        <f>(C66-B66)/B66</f>
        <v>0</v>
      </c>
      <c r="E66" s="9">
        <v>43.31</v>
      </c>
      <c r="F66" s="16">
        <f>(C66-E66)/E66</f>
        <v>0</v>
      </c>
      <c r="G66" s="40"/>
      <c r="H66" s="16"/>
      <c r="I66" s="16"/>
      <c r="J66" s="9"/>
      <c r="K66" s="9">
        <f t="shared" si="0"/>
        <v>0</v>
      </c>
      <c r="L66" s="16"/>
    </row>
    <row r="67" spans="1:12">
      <c r="A67" s="1" t="s">
        <v>3683</v>
      </c>
      <c r="B67" s="7">
        <v>45.31</v>
      </c>
      <c r="C67" s="7">
        <v>45.31</v>
      </c>
      <c r="D67" s="16">
        <f>(C67-B67)/B67</f>
        <v>0</v>
      </c>
      <c r="E67" s="9">
        <v>43.31</v>
      </c>
      <c r="F67" s="16">
        <f>(C67-E67)/E67</f>
        <v>4.6178711613945968E-2</v>
      </c>
      <c r="G67" s="40"/>
      <c r="H67" s="16"/>
      <c r="I67" s="16"/>
      <c r="J67" s="9"/>
      <c r="K67" s="9">
        <f t="shared" si="0"/>
        <v>0</v>
      </c>
      <c r="L67" s="16"/>
    </row>
    <row r="68" spans="1:12">
      <c r="A68" s="143"/>
      <c r="B68" s="143"/>
      <c r="C68" s="7"/>
      <c r="D68" s="16"/>
      <c r="E68" s="9"/>
      <c r="F68" s="16"/>
      <c r="G68" s="40"/>
      <c r="H68" s="16"/>
      <c r="I68" s="16"/>
      <c r="J68" s="9"/>
      <c r="K68" s="9">
        <f t="shared" si="0"/>
        <v>0</v>
      </c>
      <c r="L68" s="16"/>
    </row>
    <row r="69" spans="1:12" ht="38.25">
      <c r="A69" s="2" t="s">
        <v>3775</v>
      </c>
      <c r="B69" s="3" t="s">
        <v>3510</v>
      </c>
      <c r="C69" s="31" t="s">
        <v>3981</v>
      </c>
      <c r="D69" s="43"/>
      <c r="E69" s="44"/>
      <c r="F69" s="43"/>
      <c r="G69" s="23" t="s">
        <v>3983</v>
      </c>
      <c r="H69" s="43">
        <f>AVERAGE(F70:F72)</f>
        <v>3.7588332581566679E-2</v>
      </c>
      <c r="I69" s="43"/>
      <c r="J69" s="44"/>
      <c r="K69" s="9">
        <f t="shared" si="0"/>
        <v>0</v>
      </c>
      <c r="L69" s="43"/>
    </row>
    <row r="70" spans="1:12">
      <c r="A70" s="1" t="s">
        <v>3560</v>
      </c>
      <c r="B70" s="7">
        <v>33.76</v>
      </c>
      <c r="C70" s="7">
        <v>44.34</v>
      </c>
      <c r="D70" s="16">
        <f>(C70-B70)/B70</f>
        <v>0.31338862559241726</v>
      </c>
      <c r="E70" s="9">
        <v>44.34</v>
      </c>
      <c r="F70" s="16">
        <f>(C70-E70)/E70</f>
        <v>0</v>
      </c>
      <c r="G70" s="40"/>
      <c r="H70" s="16"/>
      <c r="I70" s="16"/>
      <c r="J70" s="9"/>
      <c r="K70" s="9">
        <f t="shared" si="0"/>
        <v>0</v>
      </c>
      <c r="L70" s="16"/>
    </row>
    <row r="71" spans="1:12">
      <c r="A71" s="1" t="s">
        <v>3909</v>
      </c>
      <c r="B71" s="7">
        <v>34.76</v>
      </c>
      <c r="C71" s="7">
        <v>46.34</v>
      </c>
      <c r="D71" s="16">
        <f>(C71-B71)/B71</f>
        <v>0.33314154200230167</v>
      </c>
      <c r="E71" s="9">
        <v>44.34</v>
      </c>
      <c r="F71" s="16">
        <f>(C71-E71)/E71</f>
        <v>4.5105999097880017E-2</v>
      </c>
      <c r="G71" s="40"/>
      <c r="H71" s="16"/>
      <c r="I71" s="16"/>
      <c r="J71" s="9"/>
      <c r="K71" s="9">
        <f t="shared" si="0"/>
        <v>0</v>
      </c>
      <c r="L71" s="16"/>
    </row>
    <row r="72" spans="1:12">
      <c r="A72" s="1" t="s">
        <v>3562</v>
      </c>
      <c r="B72" s="7">
        <v>35.119999999999997</v>
      </c>
      <c r="C72" s="7">
        <v>47.34</v>
      </c>
      <c r="D72" s="16">
        <f>(C72-B72)/B72</f>
        <v>0.34794988610478378</v>
      </c>
      <c r="E72" s="9">
        <v>44.34</v>
      </c>
      <c r="F72" s="16">
        <f>(C72-E72)/E72</f>
        <v>6.7658998646820026E-2</v>
      </c>
      <c r="G72" s="40"/>
      <c r="H72" s="16"/>
      <c r="I72" s="16"/>
      <c r="J72" s="9"/>
      <c r="K72" s="9">
        <f t="shared" si="0"/>
        <v>0</v>
      </c>
      <c r="L72" s="16"/>
    </row>
    <row r="73" spans="1:12">
      <c r="A73" s="1"/>
      <c r="B73" s="1"/>
      <c r="C73" s="7"/>
      <c r="D73" s="16"/>
      <c r="E73" s="9"/>
      <c r="F73" s="16"/>
      <c r="G73" s="40"/>
      <c r="H73" s="16"/>
      <c r="I73" s="16"/>
      <c r="J73" s="9"/>
      <c r="K73" s="9">
        <f t="shared" si="0"/>
        <v>0</v>
      </c>
      <c r="L73" s="16"/>
    </row>
    <row r="74" spans="1:12" ht="38.25">
      <c r="A74" s="2" t="s">
        <v>3563</v>
      </c>
      <c r="B74" s="3" t="s">
        <v>3564</v>
      </c>
      <c r="C74" s="31"/>
      <c r="D74" s="43"/>
      <c r="E74" s="44"/>
      <c r="F74" s="43"/>
      <c r="G74" s="23" t="s">
        <v>3983</v>
      </c>
      <c r="H74" s="43">
        <f>AVERAGE(F75:F77)</f>
        <v>4.7984644913627604E-2</v>
      </c>
      <c r="I74" s="43"/>
      <c r="J74" s="44"/>
      <c r="K74" s="9">
        <f t="shared" si="0"/>
        <v>0</v>
      </c>
      <c r="L74" s="43"/>
    </row>
    <row r="75" spans="1:12">
      <c r="A75" s="1" t="s">
        <v>3565</v>
      </c>
      <c r="B75" s="7">
        <v>54.38</v>
      </c>
      <c r="C75" s="7">
        <v>56.74</v>
      </c>
      <c r="D75" s="16">
        <f>(C75-B75)/B75</f>
        <v>4.3398308201544673E-2</v>
      </c>
      <c r="E75" s="9">
        <v>57.31</v>
      </c>
      <c r="F75" s="16">
        <f>(C75-E75)/E75</f>
        <v>-9.9459082184610061E-3</v>
      </c>
      <c r="G75" s="40"/>
      <c r="H75" s="16"/>
      <c r="I75" s="16"/>
      <c r="J75" s="9"/>
      <c r="K75" s="9">
        <f t="shared" si="0"/>
        <v>0</v>
      </c>
      <c r="L75" s="16"/>
    </row>
    <row r="76" spans="1:12">
      <c r="A76" s="1" t="s">
        <v>3566</v>
      </c>
      <c r="B76" s="7">
        <v>57.68</v>
      </c>
      <c r="C76" s="7">
        <v>60.04</v>
      </c>
      <c r="D76" s="16">
        <f>(C76-B76)/B76</f>
        <v>4.0915395284327312E-2</v>
      </c>
      <c r="E76" s="9">
        <v>57.31</v>
      </c>
      <c r="F76" s="16">
        <f>(C76-E76)/E76</f>
        <v>4.7635665677892111E-2</v>
      </c>
      <c r="G76" s="40"/>
      <c r="H76" s="16"/>
      <c r="I76" s="16"/>
      <c r="J76" s="9"/>
      <c r="K76" s="9">
        <f t="shared" si="0"/>
        <v>0</v>
      </c>
      <c r="L76" s="16"/>
    </row>
    <row r="77" spans="1:12">
      <c r="A77" s="1" t="s">
        <v>3567</v>
      </c>
      <c r="B77" s="7">
        <v>61.04</v>
      </c>
      <c r="C77" s="7">
        <v>63.4</v>
      </c>
      <c r="D77" s="16">
        <f>(C77-B77)/B77</f>
        <v>3.8663171690694616E-2</v>
      </c>
      <c r="E77" s="9">
        <v>57.31</v>
      </c>
      <c r="F77" s="16">
        <f>(C77-E77)/E77</f>
        <v>0.10626417728145168</v>
      </c>
      <c r="G77" s="40"/>
      <c r="H77" s="16"/>
      <c r="I77" s="16"/>
      <c r="J77" s="9"/>
      <c r="K77" s="9">
        <f t="shared" si="0"/>
        <v>0</v>
      </c>
      <c r="L77" s="16"/>
    </row>
    <row r="78" spans="1:12">
      <c r="A78" s="143"/>
      <c r="B78" s="143"/>
      <c r="C78" s="7"/>
      <c r="D78" s="16"/>
      <c r="E78" s="9"/>
      <c r="F78" s="16"/>
      <c r="G78" s="40"/>
      <c r="H78" s="16"/>
      <c r="I78" s="16"/>
      <c r="J78" s="9"/>
      <c r="K78" s="9">
        <f t="shared" si="0"/>
        <v>0</v>
      </c>
      <c r="L78" s="16"/>
    </row>
    <row r="79" spans="1:12" ht="25.5" customHeight="1">
      <c r="A79" s="2" t="s">
        <v>3568</v>
      </c>
      <c r="B79" s="142" t="s">
        <v>3510</v>
      </c>
      <c r="C79" s="147" t="s">
        <v>3510</v>
      </c>
      <c r="D79" s="43"/>
      <c r="E79" s="44"/>
      <c r="F79" s="43"/>
      <c r="G79" s="23" t="s">
        <v>3983</v>
      </c>
      <c r="H79" s="43">
        <f>AVERAGE(F81:F94)</f>
        <v>-1.1832395247029375E-2</v>
      </c>
      <c r="I79" s="43"/>
      <c r="J79" s="44"/>
      <c r="K79" s="9">
        <f t="shared" si="0"/>
        <v>0</v>
      </c>
      <c r="L79" s="43"/>
    </row>
    <row r="80" spans="1:12">
      <c r="A80" s="3" t="s">
        <v>3569</v>
      </c>
      <c r="B80" s="142"/>
      <c r="C80" s="147"/>
      <c r="D80" s="16"/>
      <c r="E80" s="9"/>
      <c r="F80" s="16"/>
      <c r="G80" s="40"/>
      <c r="H80" s="16"/>
      <c r="I80" s="16"/>
      <c r="J80" s="9"/>
      <c r="K80" s="9">
        <f t="shared" si="0"/>
        <v>0</v>
      </c>
      <c r="L80" s="16"/>
    </row>
    <row r="81" spans="1:12">
      <c r="A81" s="1" t="s">
        <v>3571</v>
      </c>
      <c r="B81" s="7">
        <v>25.66</v>
      </c>
      <c r="C81" s="7">
        <v>25.66</v>
      </c>
      <c r="D81" s="16">
        <f t="shared" ref="D81:D89" si="1">(C81-B81)/B81</f>
        <v>0</v>
      </c>
      <c r="E81" s="9">
        <v>30.75</v>
      </c>
      <c r="F81" s="16">
        <f t="shared" ref="F81:F89" si="2">(C81-E81)/E81</f>
        <v>-0.16552845528455284</v>
      </c>
      <c r="G81" s="40"/>
      <c r="H81" s="16"/>
      <c r="I81" s="16"/>
      <c r="J81" s="9"/>
      <c r="K81" s="9">
        <f t="shared" si="0"/>
        <v>0</v>
      </c>
      <c r="L81" s="16"/>
    </row>
    <row r="82" spans="1:12">
      <c r="A82" s="1" t="s">
        <v>3572</v>
      </c>
      <c r="B82" s="7">
        <v>27.16</v>
      </c>
      <c r="C82" s="7">
        <v>27.16</v>
      </c>
      <c r="D82" s="16">
        <f t="shared" si="1"/>
        <v>0</v>
      </c>
      <c r="E82" s="9">
        <v>30.75</v>
      </c>
      <c r="F82" s="16">
        <f t="shared" si="2"/>
        <v>-0.11674796747967479</v>
      </c>
      <c r="G82" s="40"/>
      <c r="H82" s="16"/>
      <c r="I82" s="16"/>
      <c r="J82" s="9"/>
      <c r="K82" s="9">
        <f t="shared" si="0"/>
        <v>0</v>
      </c>
      <c r="L82" s="16"/>
    </row>
    <row r="83" spans="1:12">
      <c r="A83" s="1" t="s">
        <v>3573</v>
      </c>
      <c r="B83" s="7">
        <v>30.82</v>
      </c>
      <c r="C83" s="7">
        <v>30.82</v>
      </c>
      <c r="D83" s="16">
        <f t="shared" si="1"/>
        <v>0</v>
      </c>
      <c r="E83" s="9">
        <v>30.75</v>
      </c>
      <c r="F83" s="16">
        <f t="shared" si="2"/>
        <v>2.2764227642276514E-3</v>
      </c>
      <c r="G83" s="40"/>
      <c r="H83" s="16"/>
      <c r="I83" s="16"/>
      <c r="J83" s="9"/>
      <c r="K83" s="9">
        <f t="shared" si="0"/>
        <v>0</v>
      </c>
      <c r="L83" s="16"/>
    </row>
    <row r="84" spans="1:12">
      <c r="A84" s="1" t="s">
        <v>3574</v>
      </c>
      <c r="B84" s="7">
        <v>27.95</v>
      </c>
      <c r="C84" s="7">
        <v>27.95</v>
      </c>
      <c r="D84" s="16">
        <f t="shared" si="1"/>
        <v>0</v>
      </c>
      <c r="E84" s="9">
        <v>30.75</v>
      </c>
      <c r="F84" s="16">
        <f t="shared" si="2"/>
        <v>-9.1056910569105712E-2</v>
      </c>
      <c r="G84" s="40"/>
      <c r="H84" s="16"/>
      <c r="I84" s="16"/>
      <c r="J84" s="9"/>
      <c r="K84" s="9">
        <f t="shared" si="0"/>
        <v>0</v>
      </c>
      <c r="L84" s="16"/>
    </row>
    <row r="85" spans="1:12">
      <c r="A85" s="1" t="s">
        <v>3575</v>
      </c>
      <c r="B85" s="7">
        <v>30.92</v>
      </c>
      <c r="C85" s="7">
        <v>30.92</v>
      </c>
      <c r="D85" s="16">
        <f t="shared" si="1"/>
        <v>0</v>
      </c>
      <c r="E85" s="9">
        <v>30.75</v>
      </c>
      <c r="F85" s="16">
        <f t="shared" si="2"/>
        <v>5.528455284552901E-3</v>
      </c>
      <c r="G85" s="40"/>
      <c r="H85" s="16"/>
      <c r="I85" s="16"/>
      <c r="J85" s="9"/>
      <c r="K85" s="9">
        <f t="shared" si="0"/>
        <v>0</v>
      </c>
      <c r="L85" s="16"/>
    </row>
    <row r="86" spans="1:12">
      <c r="A86" s="1" t="s">
        <v>3576</v>
      </c>
      <c r="B86" s="7">
        <v>31.07</v>
      </c>
      <c r="C86" s="7">
        <v>31.07</v>
      </c>
      <c r="D86" s="16">
        <f t="shared" si="1"/>
        <v>0</v>
      </c>
      <c r="E86" s="9">
        <v>30.75</v>
      </c>
      <c r="F86" s="16">
        <f t="shared" si="2"/>
        <v>1.0406504065040659E-2</v>
      </c>
      <c r="G86" s="40"/>
      <c r="H86" s="16"/>
      <c r="I86" s="16"/>
      <c r="J86" s="9"/>
      <c r="K86" s="9">
        <f t="shared" si="0"/>
        <v>0</v>
      </c>
      <c r="L86" s="16"/>
    </row>
    <row r="87" spans="1:12">
      <c r="A87" s="1" t="s">
        <v>3577</v>
      </c>
      <c r="B87" s="7">
        <v>31.32</v>
      </c>
      <c r="C87" s="7">
        <v>31.32</v>
      </c>
      <c r="D87" s="16">
        <f t="shared" si="1"/>
        <v>0</v>
      </c>
      <c r="E87" s="9">
        <v>30.75</v>
      </c>
      <c r="F87" s="16">
        <f t="shared" si="2"/>
        <v>1.8536585365853668E-2</v>
      </c>
      <c r="G87" s="40"/>
      <c r="H87" s="16"/>
      <c r="I87" s="16"/>
      <c r="J87" s="9"/>
      <c r="K87" s="9">
        <f t="shared" si="0"/>
        <v>0</v>
      </c>
      <c r="L87" s="16"/>
    </row>
    <row r="88" spans="1:12">
      <c r="A88" s="1" t="s">
        <v>3578</v>
      </c>
      <c r="B88" s="7">
        <v>32.57</v>
      </c>
      <c r="C88" s="7">
        <v>32.57</v>
      </c>
      <c r="D88" s="16">
        <f t="shared" si="1"/>
        <v>0</v>
      </c>
      <c r="E88" s="9">
        <v>30.75</v>
      </c>
      <c r="F88" s="16">
        <f t="shared" si="2"/>
        <v>5.9186991869918708E-2</v>
      </c>
      <c r="G88" s="40"/>
      <c r="H88" s="16"/>
      <c r="I88" s="16"/>
      <c r="J88" s="9"/>
      <c r="K88" s="9">
        <f t="shared" si="0"/>
        <v>0</v>
      </c>
      <c r="L88" s="16"/>
    </row>
    <row r="89" spans="1:12">
      <c r="A89" s="1" t="s">
        <v>3579</v>
      </c>
      <c r="B89" s="7">
        <v>31.62</v>
      </c>
      <c r="C89" s="7">
        <v>31.62</v>
      </c>
      <c r="D89" s="16">
        <f t="shared" si="1"/>
        <v>0</v>
      </c>
      <c r="E89" s="9">
        <v>30.75</v>
      </c>
      <c r="F89" s="16">
        <f t="shared" si="2"/>
        <v>2.82926829268293E-2</v>
      </c>
      <c r="G89" s="40"/>
      <c r="H89" s="16"/>
      <c r="I89" s="16"/>
      <c r="J89" s="9"/>
      <c r="K89" s="9">
        <f t="shared" si="0"/>
        <v>0</v>
      </c>
      <c r="L89" s="16"/>
    </row>
    <row r="90" spans="1:12">
      <c r="A90" s="1" t="s">
        <v>3580</v>
      </c>
      <c r="B90" s="1"/>
      <c r="C90" s="7"/>
      <c r="D90" s="16"/>
      <c r="E90" s="9"/>
      <c r="F90" s="16"/>
      <c r="G90" s="40"/>
      <c r="H90" s="16"/>
      <c r="I90" s="16"/>
      <c r="J90" s="9"/>
      <c r="K90" s="9">
        <f t="shared" si="0"/>
        <v>0</v>
      </c>
      <c r="L90" s="16"/>
    </row>
    <row r="91" spans="1:12">
      <c r="A91" s="1" t="s">
        <v>3581</v>
      </c>
      <c r="B91" s="7">
        <v>31.62</v>
      </c>
      <c r="C91" s="7">
        <v>31.62</v>
      </c>
      <c r="D91" s="16">
        <f>(C91-B91)/B91</f>
        <v>0</v>
      </c>
      <c r="E91" s="9">
        <v>30.75</v>
      </c>
      <c r="F91" s="16">
        <f>(C91-E91)/E91</f>
        <v>2.82926829268293E-2</v>
      </c>
      <c r="G91" s="40"/>
      <c r="H91" s="16"/>
      <c r="I91" s="16"/>
      <c r="J91" s="9"/>
      <c r="K91" s="9">
        <f t="shared" si="0"/>
        <v>0</v>
      </c>
      <c r="L91" s="16"/>
    </row>
    <row r="92" spans="1:12">
      <c r="A92" s="1" t="s">
        <v>3582</v>
      </c>
      <c r="B92" s="7">
        <v>31.32</v>
      </c>
      <c r="C92" s="7">
        <v>31.32</v>
      </c>
      <c r="D92" s="16">
        <f>(C92-B92)/B92</f>
        <v>0</v>
      </c>
      <c r="E92" s="9">
        <v>30.75</v>
      </c>
      <c r="F92" s="16">
        <f>(C92-E92)/E92</f>
        <v>1.8536585365853668E-2</v>
      </c>
      <c r="G92" s="40"/>
      <c r="H92" s="16"/>
      <c r="I92" s="16"/>
      <c r="J92" s="9"/>
      <c r="K92" s="9">
        <f t="shared" si="0"/>
        <v>0</v>
      </c>
      <c r="L92" s="16"/>
    </row>
    <row r="93" spans="1:12">
      <c r="A93" s="1" t="s">
        <v>3583</v>
      </c>
      <c r="B93" s="7">
        <v>30.97</v>
      </c>
      <c r="C93" s="7">
        <v>30.97</v>
      </c>
      <c r="D93" s="16">
        <f>(C93-B93)/B93</f>
        <v>0</v>
      </c>
      <c r="E93" s="9">
        <v>30.75</v>
      </c>
      <c r="F93" s="16">
        <f>(C93-E93)/E93</f>
        <v>7.1544715447154099E-3</v>
      </c>
      <c r="G93" s="40"/>
      <c r="H93" s="16"/>
      <c r="I93" s="16"/>
      <c r="J93" s="9"/>
      <c r="K93" s="9">
        <f t="shared" si="0"/>
        <v>0</v>
      </c>
      <c r="L93" s="16"/>
    </row>
    <row r="94" spans="1:12">
      <c r="A94" s="1" t="s">
        <v>3584</v>
      </c>
      <c r="B94" s="7">
        <v>32.020000000000003</v>
      </c>
      <c r="C94" s="7">
        <v>32.020000000000003</v>
      </c>
      <c r="D94" s="16">
        <f>(C94-B94)/B94</f>
        <v>0</v>
      </c>
      <c r="E94" s="9">
        <v>30.75</v>
      </c>
      <c r="F94" s="16">
        <f>(C94-E94)/E94</f>
        <v>4.1300813008130183E-2</v>
      </c>
      <c r="G94" s="40"/>
      <c r="H94" s="16"/>
      <c r="I94" s="16"/>
      <c r="J94" s="9"/>
      <c r="K94" s="9">
        <f t="shared" si="0"/>
        <v>0</v>
      </c>
      <c r="L94" s="16"/>
    </row>
    <row r="95" spans="1:12">
      <c r="A95" s="143"/>
      <c r="B95" s="143"/>
      <c r="C95" s="7"/>
      <c r="D95" s="16"/>
      <c r="E95" s="9"/>
      <c r="F95" s="16"/>
      <c r="G95" s="40"/>
      <c r="H95" s="16"/>
      <c r="I95" s="16"/>
      <c r="J95" s="9"/>
      <c r="K95" s="9">
        <f t="shared" si="0"/>
        <v>0</v>
      </c>
      <c r="L95" s="16"/>
    </row>
    <row r="96" spans="1:12" ht="38.25">
      <c r="A96" s="2" t="s">
        <v>3930</v>
      </c>
      <c r="B96" s="3" t="s">
        <v>3689</v>
      </c>
      <c r="C96" s="31" t="s">
        <v>3981</v>
      </c>
      <c r="D96" s="43"/>
      <c r="E96" s="44"/>
      <c r="F96" s="43"/>
      <c r="G96" s="23" t="s">
        <v>3983</v>
      </c>
      <c r="H96" s="43">
        <f>AVERAGE(F97:F99)</f>
        <v>7.7675176534492199E-2</v>
      </c>
      <c r="I96" s="43"/>
      <c r="J96" s="44"/>
      <c r="K96" s="9">
        <f t="shared" si="0"/>
        <v>0</v>
      </c>
      <c r="L96" s="43"/>
    </row>
    <row r="97" spans="1:12">
      <c r="A97" s="1" t="s">
        <v>3784</v>
      </c>
      <c r="B97" s="7">
        <v>57.06</v>
      </c>
      <c r="C97" s="7">
        <v>56.23</v>
      </c>
      <c r="D97" s="16">
        <f>(C97-B97)/B97</f>
        <v>-1.4546091833158173E-2</v>
      </c>
      <c r="E97" s="9">
        <v>55.23</v>
      </c>
      <c r="F97" s="16">
        <f>(C97-E97)/E97</f>
        <v>1.8106101756291872E-2</v>
      </c>
      <c r="G97" s="40"/>
      <c r="H97" s="16"/>
      <c r="I97" s="16"/>
      <c r="J97" s="9"/>
      <c r="K97" s="9">
        <f t="shared" si="0"/>
        <v>0</v>
      </c>
      <c r="L97" s="16"/>
    </row>
    <row r="98" spans="1:12">
      <c r="A98" s="1" t="s">
        <v>3588</v>
      </c>
      <c r="B98" s="7">
        <v>59.56</v>
      </c>
      <c r="C98" s="7">
        <v>59.52</v>
      </c>
      <c r="D98" s="16">
        <f>(C98-B98)/B98</f>
        <v>-6.7159167226324955E-4</v>
      </c>
      <c r="E98" s="9">
        <v>55.23</v>
      </c>
      <c r="F98" s="16">
        <f>(C98-E98)/E98</f>
        <v>7.7675176534492241E-2</v>
      </c>
      <c r="G98" s="40"/>
      <c r="H98" s="16"/>
      <c r="I98" s="16"/>
      <c r="J98" s="9"/>
      <c r="K98" s="9">
        <f t="shared" si="0"/>
        <v>0</v>
      </c>
      <c r="L98" s="16"/>
    </row>
    <row r="99" spans="1:12">
      <c r="A99" s="1" t="s">
        <v>3589</v>
      </c>
      <c r="B99" s="7">
        <v>61.06</v>
      </c>
      <c r="C99" s="7">
        <v>62.81</v>
      </c>
      <c r="D99" s="16">
        <f>(C99-B99)/B99</f>
        <v>2.866033409760891E-2</v>
      </c>
      <c r="E99" s="9">
        <v>55.23</v>
      </c>
      <c r="F99" s="16">
        <f>(C99-E99)/E99</f>
        <v>0.13724425131269249</v>
      </c>
      <c r="G99" s="40"/>
      <c r="H99" s="16"/>
      <c r="I99" s="16"/>
      <c r="J99" s="9"/>
      <c r="K99" s="9">
        <f t="shared" si="0"/>
        <v>0</v>
      </c>
      <c r="L99" s="16"/>
    </row>
    <row r="100" spans="1:12">
      <c r="A100" s="143"/>
      <c r="B100" s="143"/>
      <c r="C100" s="7"/>
      <c r="D100" s="16"/>
      <c r="E100" s="9"/>
      <c r="F100" s="16"/>
      <c r="G100" s="40"/>
      <c r="H100" s="16"/>
      <c r="I100" s="16"/>
      <c r="J100" s="9"/>
      <c r="K100" s="9">
        <f t="shared" si="0"/>
        <v>0</v>
      </c>
      <c r="L100" s="16"/>
    </row>
    <row r="101" spans="1:12">
      <c r="A101" s="2" t="s">
        <v>3925</v>
      </c>
      <c r="B101" s="1"/>
      <c r="C101" s="31" t="s">
        <v>3981</v>
      </c>
      <c r="D101" s="43"/>
      <c r="E101" s="44"/>
      <c r="F101" s="43"/>
      <c r="G101" s="23" t="s">
        <v>3983</v>
      </c>
      <c r="H101" s="43">
        <f>AVERAGE(F102:F105)</f>
        <v>-0.4644820295983087</v>
      </c>
      <c r="I101" s="43"/>
      <c r="J101" s="44"/>
      <c r="K101" s="9">
        <f t="shared" si="0"/>
        <v>0</v>
      </c>
      <c r="L101" s="43"/>
    </row>
    <row r="102" spans="1:12">
      <c r="A102" s="1" t="s">
        <v>3786</v>
      </c>
      <c r="B102" s="7">
        <v>49.6</v>
      </c>
      <c r="C102" s="7">
        <v>25.33</v>
      </c>
      <c r="D102" s="16">
        <f>(C102-B102)/B102</f>
        <v>-0.48931451612903232</v>
      </c>
      <c r="E102" s="9">
        <v>47.3</v>
      </c>
      <c r="F102" s="16">
        <f>(C102-E102)/E102</f>
        <v>-0.4644820295983087</v>
      </c>
      <c r="G102" s="40"/>
      <c r="H102" s="16"/>
      <c r="I102" s="16"/>
      <c r="J102" s="9"/>
      <c r="K102" s="9">
        <f t="shared" si="0"/>
        <v>0</v>
      </c>
      <c r="L102" s="16"/>
    </row>
    <row r="103" spans="1:12">
      <c r="A103" s="1" t="s">
        <v>3787</v>
      </c>
      <c r="B103" s="7">
        <v>50.7</v>
      </c>
      <c r="C103" s="7">
        <v>25.33</v>
      </c>
      <c r="D103" s="16">
        <f>(C103-B103)/B103</f>
        <v>-0.50039447731755426</v>
      </c>
      <c r="E103" s="9">
        <v>47.3</v>
      </c>
      <c r="F103" s="16">
        <f>(C103-E103)/E103</f>
        <v>-0.4644820295983087</v>
      </c>
      <c r="G103" s="40"/>
      <c r="H103" s="16"/>
      <c r="I103" s="16"/>
      <c r="J103" s="9"/>
      <c r="K103" s="9">
        <f t="shared" si="0"/>
        <v>0</v>
      </c>
      <c r="L103" s="16"/>
    </row>
    <row r="104" spans="1:12">
      <c r="A104" s="1" t="s">
        <v>3788</v>
      </c>
      <c r="B104" s="7">
        <v>53.01</v>
      </c>
      <c r="C104" s="7">
        <v>25.33</v>
      </c>
      <c r="D104" s="16">
        <f>(C104-B104)/B104</f>
        <v>-0.52216562912657993</v>
      </c>
      <c r="E104" s="9">
        <v>47.3</v>
      </c>
      <c r="F104" s="16">
        <f>(C104-E104)/E104</f>
        <v>-0.4644820295983087</v>
      </c>
      <c r="G104" s="40"/>
      <c r="H104" s="16"/>
      <c r="I104" s="16"/>
      <c r="J104" s="9"/>
      <c r="K104" s="9">
        <f t="shared" si="0"/>
        <v>0</v>
      </c>
      <c r="L104" s="16"/>
    </row>
    <row r="105" spans="1:12">
      <c r="A105" s="1" t="s">
        <v>3789</v>
      </c>
      <c r="B105" s="7">
        <v>56.65</v>
      </c>
      <c r="C105" s="7">
        <v>25.33</v>
      </c>
      <c r="D105" s="16">
        <f>(C105-B105)/B105</f>
        <v>-0.55286849073256839</v>
      </c>
      <c r="E105" s="9">
        <v>47.3</v>
      </c>
      <c r="F105" s="16">
        <f>(C105-E105)/E105</f>
        <v>-0.4644820295983087</v>
      </c>
      <c r="G105" s="40"/>
      <c r="H105" s="16"/>
      <c r="I105" s="16"/>
      <c r="J105" s="9"/>
      <c r="K105" s="9">
        <f t="shared" si="0"/>
        <v>0</v>
      </c>
      <c r="L105" s="16"/>
    </row>
    <row r="106" spans="1:12">
      <c r="A106" s="143"/>
      <c r="B106" s="143"/>
      <c r="C106" s="7"/>
      <c r="D106" s="16"/>
      <c r="E106" s="9"/>
      <c r="F106" s="16"/>
      <c r="G106" s="40"/>
      <c r="H106" s="16"/>
      <c r="I106" s="16"/>
      <c r="J106" s="9"/>
      <c r="K106" s="9">
        <f t="shared" si="0"/>
        <v>0</v>
      </c>
      <c r="L106" s="16"/>
    </row>
    <row r="107" spans="1:12">
      <c r="A107" s="2" t="s">
        <v>3942</v>
      </c>
      <c r="B107" s="2"/>
      <c r="C107" s="10"/>
      <c r="D107" s="16"/>
      <c r="E107" s="9"/>
      <c r="F107" s="16"/>
      <c r="G107" s="40"/>
      <c r="H107" s="16"/>
      <c r="I107" s="16"/>
      <c r="J107" s="9"/>
      <c r="K107" s="9">
        <f t="shared" si="0"/>
        <v>0</v>
      </c>
      <c r="L107" s="16"/>
    </row>
    <row r="108" spans="1:12" ht="38.25">
      <c r="A108" s="3" t="s">
        <v>3569</v>
      </c>
      <c r="B108" s="4" t="s">
        <v>3690</v>
      </c>
      <c r="C108" s="14" t="s">
        <v>3690</v>
      </c>
      <c r="D108" s="43"/>
      <c r="E108" s="44"/>
      <c r="F108" s="43"/>
      <c r="G108" s="23" t="s">
        <v>3983</v>
      </c>
      <c r="H108" s="43">
        <f>AVERAGE(F109:F160)</f>
        <v>-2.3230360905135868E-2</v>
      </c>
      <c r="I108" s="43"/>
      <c r="J108" s="44"/>
      <c r="K108" s="9">
        <f t="shared" ref="K108:K171" si="3">J108*1.4</f>
        <v>0</v>
      </c>
      <c r="L108" s="43"/>
    </row>
    <row r="109" spans="1:12">
      <c r="A109" s="1" t="s">
        <v>3573</v>
      </c>
      <c r="B109" s="7">
        <v>41.33</v>
      </c>
      <c r="C109" s="7">
        <v>43.08</v>
      </c>
      <c r="D109" s="16">
        <f t="shared" ref="D109:D124" si="4">(C109-B109)/B109</f>
        <v>4.2342124364868138E-2</v>
      </c>
      <c r="E109" s="9">
        <v>52.21</v>
      </c>
      <c r="F109" s="16">
        <f t="shared" ref="F109:F124" si="5">(C109-E109)/E109</f>
        <v>-0.17487071442252447</v>
      </c>
      <c r="G109" s="40"/>
      <c r="H109" s="16"/>
      <c r="I109" s="16"/>
      <c r="J109" s="9"/>
      <c r="K109" s="9">
        <f t="shared" si="3"/>
        <v>0</v>
      </c>
      <c r="L109" s="16"/>
    </row>
    <row r="110" spans="1:12">
      <c r="A110" s="1" t="s">
        <v>3574</v>
      </c>
      <c r="B110" s="7">
        <v>44.09</v>
      </c>
      <c r="C110" s="7">
        <v>45.84</v>
      </c>
      <c r="D110" s="16">
        <f t="shared" si="4"/>
        <v>3.9691540031753229E-2</v>
      </c>
      <c r="E110" s="9">
        <v>52.21</v>
      </c>
      <c r="F110" s="16">
        <f t="shared" si="5"/>
        <v>-0.12200727829917635</v>
      </c>
      <c r="G110" s="40"/>
      <c r="H110" s="16"/>
      <c r="I110" s="16"/>
      <c r="J110" s="9"/>
      <c r="K110" s="9">
        <f t="shared" si="3"/>
        <v>0</v>
      </c>
      <c r="L110" s="16"/>
    </row>
    <row r="111" spans="1:12">
      <c r="A111" s="1" t="s">
        <v>3575</v>
      </c>
      <c r="B111" s="7">
        <v>44.62</v>
      </c>
      <c r="C111" s="7">
        <v>46.37</v>
      </c>
      <c r="D111" s="16">
        <f t="shared" si="4"/>
        <v>3.9220080681308833E-2</v>
      </c>
      <c r="E111" s="9">
        <v>52.21</v>
      </c>
      <c r="F111" s="16">
        <f t="shared" si="5"/>
        <v>-0.11185596628998283</v>
      </c>
      <c r="G111" s="40"/>
      <c r="H111" s="16"/>
      <c r="I111" s="16"/>
      <c r="J111" s="9"/>
      <c r="K111" s="9">
        <f t="shared" si="3"/>
        <v>0</v>
      </c>
      <c r="L111" s="16"/>
    </row>
    <row r="112" spans="1:12">
      <c r="A112" s="1" t="s">
        <v>3576</v>
      </c>
      <c r="B112" s="7">
        <v>44.89</v>
      </c>
      <c r="C112" s="7">
        <v>46.64</v>
      </c>
      <c r="D112" s="16">
        <f t="shared" si="4"/>
        <v>3.8984183559812875E-2</v>
      </c>
      <c r="E112" s="9">
        <v>52.21</v>
      </c>
      <c r="F112" s="16">
        <f t="shared" si="5"/>
        <v>-0.10668454319095959</v>
      </c>
      <c r="G112" s="40"/>
      <c r="H112" s="16"/>
      <c r="I112" s="16"/>
      <c r="J112" s="9"/>
      <c r="K112" s="9">
        <f t="shared" si="3"/>
        <v>0</v>
      </c>
      <c r="L112" s="16"/>
    </row>
    <row r="113" spans="1:12">
      <c r="A113" s="1" t="s">
        <v>3577</v>
      </c>
      <c r="B113" s="7">
        <v>45.63</v>
      </c>
      <c r="C113" s="7">
        <v>47.38</v>
      </c>
      <c r="D113" s="16">
        <f t="shared" si="4"/>
        <v>3.8351961428884501E-2</v>
      </c>
      <c r="E113" s="9">
        <v>52.21</v>
      </c>
      <c r="F113" s="16">
        <f t="shared" si="5"/>
        <v>-9.2511013215859E-2</v>
      </c>
      <c r="G113" s="40"/>
      <c r="H113" s="16"/>
      <c r="I113" s="16"/>
      <c r="J113" s="9"/>
      <c r="K113" s="9">
        <f t="shared" si="3"/>
        <v>0</v>
      </c>
      <c r="L113" s="16"/>
    </row>
    <row r="114" spans="1:12">
      <c r="A114" s="1" t="s">
        <v>3579</v>
      </c>
      <c r="B114" s="7">
        <v>45.93</v>
      </c>
      <c r="C114" s="7">
        <v>47.68</v>
      </c>
      <c r="D114" s="16">
        <f t="shared" si="4"/>
        <v>3.8101458741563246E-2</v>
      </c>
      <c r="E114" s="9">
        <v>52.21</v>
      </c>
      <c r="F114" s="16">
        <f t="shared" si="5"/>
        <v>-8.6764987550277742E-2</v>
      </c>
      <c r="G114" s="40"/>
      <c r="H114" s="16"/>
      <c r="I114" s="16"/>
      <c r="J114" s="9"/>
      <c r="K114" s="9">
        <f t="shared" si="3"/>
        <v>0</v>
      </c>
      <c r="L114" s="16"/>
    </row>
    <row r="115" spans="1:12">
      <c r="A115" s="1" t="s">
        <v>3580</v>
      </c>
      <c r="B115" s="7">
        <v>46.1</v>
      </c>
      <c r="C115" s="7">
        <v>47.85</v>
      </c>
      <c r="D115" s="16">
        <f t="shared" si="4"/>
        <v>3.7960954446854663E-2</v>
      </c>
      <c r="E115" s="9">
        <v>52.21</v>
      </c>
      <c r="F115" s="16">
        <f t="shared" si="5"/>
        <v>-8.3508906339781641E-2</v>
      </c>
      <c r="G115" s="40"/>
      <c r="H115" s="16"/>
      <c r="I115" s="16"/>
      <c r="J115" s="9"/>
      <c r="K115" s="9">
        <f t="shared" si="3"/>
        <v>0</v>
      </c>
      <c r="L115" s="16"/>
    </row>
    <row r="116" spans="1:12">
      <c r="A116" s="1" t="s">
        <v>3593</v>
      </c>
      <c r="B116" s="7">
        <v>46.35</v>
      </c>
      <c r="C116" s="7">
        <v>48.1</v>
      </c>
      <c r="D116" s="16">
        <f t="shared" si="4"/>
        <v>3.7756202804746494E-2</v>
      </c>
      <c r="E116" s="9">
        <v>52.21</v>
      </c>
      <c r="F116" s="16">
        <f t="shared" si="5"/>
        <v>-7.8720551618463877E-2</v>
      </c>
      <c r="G116" s="40"/>
      <c r="H116" s="16"/>
      <c r="I116" s="16"/>
      <c r="J116" s="9"/>
      <c r="K116" s="9">
        <f t="shared" si="3"/>
        <v>0</v>
      </c>
      <c r="L116" s="16"/>
    </row>
    <row r="117" spans="1:12">
      <c r="A117" s="1" t="s">
        <v>3594</v>
      </c>
      <c r="B117" s="7">
        <v>46.94</v>
      </c>
      <c r="C117" s="7">
        <v>48.69</v>
      </c>
      <c r="D117" s="16">
        <f t="shared" si="4"/>
        <v>3.7281636131231359E-2</v>
      </c>
      <c r="E117" s="9">
        <v>52.21</v>
      </c>
      <c r="F117" s="16">
        <f t="shared" si="5"/>
        <v>-6.742003447615405E-2</v>
      </c>
      <c r="G117" s="40"/>
      <c r="H117" s="16"/>
      <c r="I117" s="16"/>
      <c r="J117" s="9"/>
      <c r="K117" s="9">
        <f t="shared" si="3"/>
        <v>0</v>
      </c>
      <c r="L117" s="16"/>
    </row>
    <row r="118" spans="1:12">
      <c r="A118" s="1" t="s">
        <v>3595</v>
      </c>
      <c r="B118" s="7">
        <v>47.26</v>
      </c>
      <c r="C118" s="7">
        <v>49.01</v>
      </c>
      <c r="D118" s="16">
        <f t="shared" si="4"/>
        <v>3.7029200169276348E-2</v>
      </c>
      <c r="E118" s="9">
        <v>52.21</v>
      </c>
      <c r="F118" s="16">
        <f t="shared" si="5"/>
        <v>-6.129094043286732E-2</v>
      </c>
      <c r="G118" s="40"/>
      <c r="H118" s="16"/>
      <c r="I118" s="16"/>
      <c r="J118" s="9"/>
      <c r="K118" s="9">
        <f t="shared" si="3"/>
        <v>0</v>
      </c>
      <c r="L118" s="16"/>
    </row>
    <row r="119" spans="1:12">
      <c r="A119" s="1" t="s">
        <v>3596</v>
      </c>
      <c r="B119" s="7">
        <v>47.61</v>
      </c>
      <c r="C119" s="7">
        <v>49.36</v>
      </c>
      <c r="D119" s="16">
        <f t="shared" si="4"/>
        <v>3.6756983826927117E-2</v>
      </c>
      <c r="E119" s="9">
        <v>52.21</v>
      </c>
      <c r="F119" s="16">
        <f t="shared" si="5"/>
        <v>-5.4587243823022435E-2</v>
      </c>
      <c r="G119" s="40"/>
      <c r="H119" s="16"/>
      <c r="I119" s="16"/>
      <c r="J119" s="9"/>
      <c r="K119" s="9">
        <f t="shared" si="3"/>
        <v>0</v>
      </c>
      <c r="L119" s="16"/>
    </row>
    <row r="120" spans="1:12">
      <c r="A120" s="1" t="s">
        <v>3597</v>
      </c>
      <c r="B120" s="7">
        <v>47.8</v>
      </c>
      <c r="C120" s="7">
        <v>49.55</v>
      </c>
      <c r="D120" s="16">
        <f t="shared" si="4"/>
        <v>3.6610878661087871E-2</v>
      </c>
      <c r="E120" s="9">
        <v>52.21</v>
      </c>
      <c r="F120" s="16">
        <f t="shared" si="5"/>
        <v>-5.0948094234820988E-2</v>
      </c>
      <c r="G120" s="40"/>
      <c r="H120" s="16"/>
      <c r="I120" s="16"/>
      <c r="J120" s="9"/>
      <c r="K120" s="9">
        <f t="shared" si="3"/>
        <v>0</v>
      </c>
      <c r="L120" s="16"/>
    </row>
    <row r="121" spans="1:12">
      <c r="A121" s="1" t="s">
        <v>3598</v>
      </c>
      <c r="B121" s="7">
        <v>48.04</v>
      </c>
      <c r="C121" s="7">
        <v>49.79</v>
      </c>
      <c r="D121" s="16">
        <f t="shared" si="4"/>
        <v>3.6427976686094925E-2</v>
      </c>
      <c r="E121" s="9">
        <v>52.21</v>
      </c>
      <c r="F121" s="16">
        <f t="shared" si="5"/>
        <v>-4.6351273702355901E-2</v>
      </c>
      <c r="G121" s="40"/>
      <c r="H121" s="16"/>
      <c r="I121" s="16"/>
      <c r="J121" s="9"/>
      <c r="K121" s="9">
        <f t="shared" si="3"/>
        <v>0</v>
      </c>
      <c r="L121" s="16"/>
    </row>
    <row r="122" spans="1:12">
      <c r="A122" s="1" t="s">
        <v>3599</v>
      </c>
      <c r="B122" s="7">
        <v>49.68</v>
      </c>
      <c r="C122" s="7">
        <v>51.43</v>
      </c>
      <c r="D122" s="16">
        <f t="shared" si="4"/>
        <v>3.5225442834138483E-2</v>
      </c>
      <c r="E122" s="9">
        <v>52.21</v>
      </c>
      <c r="F122" s="16">
        <f t="shared" si="5"/>
        <v>-1.4939666730511418E-2</v>
      </c>
      <c r="G122" s="40"/>
      <c r="H122" s="16"/>
      <c r="I122" s="16"/>
      <c r="J122" s="9"/>
      <c r="K122" s="9">
        <f t="shared" si="3"/>
        <v>0</v>
      </c>
      <c r="L122" s="16"/>
    </row>
    <row r="123" spans="1:12">
      <c r="A123" s="1" t="s">
        <v>3600</v>
      </c>
      <c r="B123" s="7">
        <v>50.49</v>
      </c>
      <c r="C123" s="7">
        <v>52.24</v>
      </c>
      <c r="D123" s="16">
        <f t="shared" si="4"/>
        <v>3.4660328777975834E-2</v>
      </c>
      <c r="E123" s="9">
        <v>52.21</v>
      </c>
      <c r="F123" s="16">
        <f t="shared" si="5"/>
        <v>5.746025665581524E-4</v>
      </c>
      <c r="G123" s="40"/>
      <c r="H123" s="16"/>
      <c r="I123" s="16"/>
      <c r="J123" s="9"/>
      <c r="K123" s="9">
        <f t="shared" si="3"/>
        <v>0</v>
      </c>
      <c r="L123" s="16"/>
    </row>
    <row r="124" spans="1:12">
      <c r="A124" s="1" t="s">
        <v>3601</v>
      </c>
      <c r="B124" s="7">
        <v>49.68</v>
      </c>
      <c r="C124" s="7">
        <v>51.43</v>
      </c>
      <c r="D124" s="16">
        <f t="shared" si="4"/>
        <v>3.5225442834138483E-2</v>
      </c>
      <c r="E124" s="9">
        <v>52.21</v>
      </c>
      <c r="F124" s="16">
        <f t="shared" si="5"/>
        <v>-1.4939666730511418E-2</v>
      </c>
      <c r="G124" s="40"/>
      <c r="H124" s="16"/>
      <c r="I124" s="16"/>
      <c r="J124" s="9"/>
      <c r="K124" s="9">
        <f t="shared" si="3"/>
        <v>0</v>
      </c>
      <c r="L124" s="16"/>
    </row>
    <row r="125" spans="1:12">
      <c r="A125" s="1" t="s">
        <v>3602</v>
      </c>
      <c r="B125" s="5" t="s">
        <v>3534</v>
      </c>
      <c r="C125" s="11" t="s">
        <v>3534</v>
      </c>
      <c r="D125" s="16"/>
      <c r="E125" s="9"/>
      <c r="F125" s="16"/>
      <c r="G125" s="40"/>
      <c r="H125" s="16"/>
      <c r="I125" s="16"/>
      <c r="J125" s="9"/>
      <c r="K125" s="9">
        <f t="shared" si="3"/>
        <v>0</v>
      </c>
      <c r="L125" s="16"/>
    </row>
    <row r="126" spans="1:12">
      <c r="A126" s="1" t="s">
        <v>3603</v>
      </c>
      <c r="B126" s="5" t="s">
        <v>3534</v>
      </c>
      <c r="C126" s="11" t="s">
        <v>3534</v>
      </c>
      <c r="D126" s="16"/>
      <c r="E126" s="9"/>
      <c r="F126" s="16"/>
      <c r="G126" s="40"/>
      <c r="H126" s="16"/>
      <c r="I126" s="16"/>
      <c r="J126" s="9"/>
      <c r="K126" s="9">
        <f t="shared" si="3"/>
        <v>0</v>
      </c>
      <c r="L126" s="16"/>
    </row>
    <row r="127" spans="1:12">
      <c r="A127" s="143"/>
      <c r="B127" s="143"/>
      <c r="C127" s="7"/>
      <c r="D127" s="16"/>
      <c r="E127" s="9"/>
      <c r="F127" s="16"/>
      <c r="G127" s="40"/>
      <c r="H127" s="16"/>
      <c r="I127" s="16"/>
      <c r="J127" s="9"/>
      <c r="K127" s="9">
        <f t="shared" si="3"/>
        <v>0</v>
      </c>
      <c r="L127" s="16"/>
    </row>
    <row r="128" spans="1:12" ht="25.5" customHeight="1">
      <c r="A128" s="2" t="s">
        <v>3604</v>
      </c>
      <c r="B128" s="142" t="s">
        <v>3510</v>
      </c>
      <c r="C128" s="147" t="s">
        <v>3510</v>
      </c>
      <c r="D128" s="16"/>
      <c r="E128" s="9"/>
      <c r="F128" s="16"/>
      <c r="G128" s="40"/>
      <c r="H128" s="16"/>
      <c r="I128" s="16"/>
      <c r="J128" s="9"/>
      <c r="K128" s="9">
        <f t="shared" si="3"/>
        <v>0</v>
      </c>
      <c r="L128" s="16"/>
    </row>
    <row r="129" spans="1:12">
      <c r="A129" s="3" t="s">
        <v>3569</v>
      </c>
      <c r="B129" s="142"/>
      <c r="C129" s="147"/>
      <c r="D129" s="16"/>
      <c r="E129" s="9"/>
      <c r="F129" s="16"/>
      <c r="G129" s="40"/>
      <c r="H129" s="16"/>
      <c r="I129" s="16"/>
      <c r="J129" s="9"/>
      <c r="K129" s="9">
        <f t="shared" si="3"/>
        <v>0</v>
      </c>
      <c r="L129" s="16"/>
    </row>
    <row r="130" spans="1:12">
      <c r="A130" s="1" t="s">
        <v>3573</v>
      </c>
      <c r="B130" s="7">
        <v>56.63</v>
      </c>
      <c r="C130" s="7">
        <v>58.38</v>
      </c>
      <c r="D130" s="16">
        <f t="shared" ref="D130:D141" si="6">(C130-B130)/B130</f>
        <v>3.0902348578491962E-2</v>
      </c>
      <c r="E130" s="9">
        <v>52.21</v>
      </c>
      <c r="F130" s="16">
        <f t="shared" ref="F130:F141" si="7">(C130-E130)/E130</f>
        <v>0.11817659452212223</v>
      </c>
      <c r="G130" s="40"/>
      <c r="H130" s="16"/>
      <c r="I130" s="16"/>
      <c r="J130" s="9"/>
      <c r="K130" s="9">
        <f t="shared" si="3"/>
        <v>0</v>
      </c>
      <c r="L130" s="16"/>
    </row>
    <row r="131" spans="1:12">
      <c r="A131" s="1" t="s">
        <v>3605</v>
      </c>
      <c r="B131" s="7">
        <v>50.46</v>
      </c>
      <c r="C131" s="7">
        <v>52.21</v>
      </c>
      <c r="D131" s="16">
        <f t="shared" si="6"/>
        <v>3.4680935394371781E-2</v>
      </c>
      <c r="E131" s="9">
        <v>52.21</v>
      </c>
      <c r="F131" s="16">
        <f t="shared" si="7"/>
        <v>0</v>
      </c>
      <c r="G131" s="40"/>
      <c r="H131" s="16"/>
      <c r="I131" s="16"/>
      <c r="J131" s="9"/>
      <c r="K131" s="9">
        <f t="shared" si="3"/>
        <v>0</v>
      </c>
      <c r="L131" s="16"/>
    </row>
    <row r="132" spans="1:12">
      <c r="A132" s="1" t="s">
        <v>3606</v>
      </c>
      <c r="B132" s="7">
        <v>48.5</v>
      </c>
      <c r="C132" s="7">
        <v>50.25</v>
      </c>
      <c r="D132" s="16">
        <f t="shared" si="6"/>
        <v>3.608247422680412E-2</v>
      </c>
      <c r="E132" s="9">
        <v>52.21</v>
      </c>
      <c r="F132" s="16">
        <f t="shared" si="7"/>
        <v>-3.7540701015131218E-2</v>
      </c>
      <c r="G132" s="40"/>
      <c r="H132" s="16"/>
      <c r="I132" s="16"/>
      <c r="J132" s="9"/>
      <c r="K132" s="9">
        <f t="shared" si="3"/>
        <v>0</v>
      </c>
      <c r="L132" s="16"/>
    </row>
    <row r="133" spans="1:12">
      <c r="A133" s="1" t="s">
        <v>3575</v>
      </c>
      <c r="B133" s="7">
        <v>55.12</v>
      </c>
      <c r="C133" s="7">
        <v>56.87</v>
      </c>
      <c r="D133" s="16">
        <f t="shared" si="6"/>
        <v>3.17489114658926E-2</v>
      </c>
      <c r="E133" s="9">
        <v>52.21</v>
      </c>
      <c r="F133" s="16">
        <f t="shared" si="7"/>
        <v>8.9254932005362886E-2</v>
      </c>
      <c r="G133" s="40"/>
      <c r="H133" s="16"/>
      <c r="I133" s="16"/>
      <c r="J133" s="9"/>
      <c r="K133" s="9">
        <f t="shared" si="3"/>
        <v>0</v>
      </c>
      <c r="L133" s="16"/>
    </row>
    <row r="134" spans="1:12">
      <c r="A134" s="1" t="s">
        <v>3607</v>
      </c>
      <c r="B134" s="7">
        <v>50.21</v>
      </c>
      <c r="C134" s="7">
        <v>51.96</v>
      </c>
      <c r="D134" s="16">
        <f t="shared" si="6"/>
        <v>3.4853614817765388E-2</v>
      </c>
      <c r="E134" s="9">
        <v>52.21</v>
      </c>
      <c r="F134" s="16">
        <f t="shared" si="7"/>
        <v>-4.7883547213177554E-3</v>
      </c>
      <c r="G134" s="40"/>
      <c r="H134" s="16"/>
      <c r="I134" s="16"/>
      <c r="J134" s="9"/>
      <c r="K134" s="9">
        <f t="shared" si="3"/>
        <v>0</v>
      </c>
      <c r="L134" s="16"/>
    </row>
    <row r="135" spans="1:12">
      <c r="A135" s="1" t="s">
        <v>3608</v>
      </c>
      <c r="B135" s="7">
        <v>48.29</v>
      </c>
      <c r="C135" s="7">
        <v>50.04</v>
      </c>
      <c r="D135" s="16">
        <f t="shared" si="6"/>
        <v>3.6239387036653553E-2</v>
      </c>
      <c r="E135" s="9">
        <v>52.21</v>
      </c>
      <c r="F135" s="16">
        <f t="shared" si="7"/>
        <v>-4.1562918981038144E-2</v>
      </c>
      <c r="G135" s="40"/>
      <c r="H135" s="16"/>
      <c r="I135" s="16"/>
      <c r="J135" s="9"/>
      <c r="K135" s="9">
        <f t="shared" si="3"/>
        <v>0</v>
      </c>
      <c r="L135" s="16"/>
    </row>
    <row r="136" spans="1:12">
      <c r="A136" s="1" t="s">
        <v>3576</v>
      </c>
      <c r="B136" s="7">
        <v>53.88</v>
      </c>
      <c r="C136" s="7">
        <v>55.63</v>
      </c>
      <c r="D136" s="16">
        <f t="shared" si="6"/>
        <v>3.2479584261321456E-2</v>
      </c>
      <c r="E136" s="9">
        <v>52.21</v>
      </c>
      <c r="F136" s="16">
        <f t="shared" si="7"/>
        <v>6.5504692587626923E-2</v>
      </c>
      <c r="G136" s="40"/>
      <c r="H136" s="16"/>
      <c r="I136" s="16"/>
      <c r="J136" s="9"/>
      <c r="K136" s="9">
        <f t="shared" si="3"/>
        <v>0</v>
      </c>
      <c r="L136" s="16"/>
    </row>
    <row r="137" spans="1:12">
      <c r="A137" s="1" t="s">
        <v>3609</v>
      </c>
      <c r="B137" s="7">
        <v>49.99</v>
      </c>
      <c r="C137" s="7">
        <v>51.74</v>
      </c>
      <c r="D137" s="16">
        <f t="shared" si="6"/>
        <v>3.5007001400280055E-2</v>
      </c>
      <c r="E137" s="9">
        <v>52.21</v>
      </c>
      <c r="F137" s="16">
        <f t="shared" si="7"/>
        <v>-9.0021068760773575E-3</v>
      </c>
      <c r="G137" s="40"/>
      <c r="H137" s="16"/>
      <c r="I137" s="16"/>
      <c r="J137" s="9"/>
      <c r="K137" s="9">
        <f t="shared" si="3"/>
        <v>0</v>
      </c>
      <c r="L137" s="16"/>
    </row>
    <row r="138" spans="1:12">
      <c r="A138" s="1" t="s">
        <v>3610</v>
      </c>
      <c r="B138" s="7">
        <v>48.07</v>
      </c>
      <c r="C138" s="7">
        <v>49.82</v>
      </c>
      <c r="D138" s="16">
        <f t="shared" si="6"/>
        <v>3.6405242354899107E-2</v>
      </c>
      <c r="E138" s="9">
        <v>52.21</v>
      </c>
      <c r="F138" s="16">
        <f t="shared" si="7"/>
        <v>-4.5776671135797753E-2</v>
      </c>
      <c r="G138" s="40"/>
      <c r="H138" s="16"/>
      <c r="I138" s="16"/>
      <c r="J138" s="9"/>
      <c r="K138" s="9">
        <f t="shared" si="3"/>
        <v>0</v>
      </c>
      <c r="L138" s="16"/>
    </row>
    <row r="139" spans="1:12">
      <c r="A139" s="1" t="s">
        <v>3611</v>
      </c>
      <c r="B139" s="7">
        <v>49.66</v>
      </c>
      <c r="C139" s="7">
        <v>51.41</v>
      </c>
      <c r="D139" s="16">
        <f t="shared" si="6"/>
        <v>3.5239629480467181E-2</v>
      </c>
      <c r="E139" s="9">
        <v>52.21</v>
      </c>
      <c r="F139" s="16">
        <f t="shared" si="7"/>
        <v>-1.5322735108216898E-2</v>
      </c>
      <c r="G139" s="40"/>
      <c r="H139" s="16"/>
      <c r="I139" s="16"/>
      <c r="J139" s="9"/>
      <c r="K139" s="9">
        <f t="shared" si="3"/>
        <v>0</v>
      </c>
      <c r="L139" s="16"/>
    </row>
    <row r="140" spans="1:12">
      <c r="A140" s="1" t="s">
        <v>3577</v>
      </c>
      <c r="B140" s="7">
        <v>52.15</v>
      </c>
      <c r="C140" s="7">
        <v>53.9</v>
      </c>
      <c r="D140" s="16">
        <f t="shared" si="6"/>
        <v>3.3557046979865772E-2</v>
      </c>
      <c r="E140" s="9">
        <v>52.21</v>
      </c>
      <c r="F140" s="16">
        <f t="shared" si="7"/>
        <v>3.2369277916107983E-2</v>
      </c>
      <c r="G140" s="40"/>
      <c r="H140" s="16"/>
      <c r="I140" s="16"/>
      <c r="J140" s="9"/>
      <c r="K140" s="9">
        <f t="shared" si="3"/>
        <v>0</v>
      </c>
      <c r="L140" s="16"/>
    </row>
    <row r="141" spans="1:12">
      <c r="A141" s="1" t="s">
        <v>3579</v>
      </c>
      <c r="B141" s="7">
        <v>51.05</v>
      </c>
      <c r="C141" s="7">
        <v>52.8</v>
      </c>
      <c r="D141" s="16">
        <f t="shared" si="6"/>
        <v>3.4280117531831543E-2</v>
      </c>
      <c r="E141" s="9">
        <v>52.21</v>
      </c>
      <c r="F141" s="16">
        <f t="shared" si="7"/>
        <v>1.1300517142309832E-2</v>
      </c>
      <c r="G141" s="40"/>
      <c r="H141" s="16"/>
      <c r="I141" s="16"/>
      <c r="J141" s="9"/>
      <c r="K141" s="9">
        <f t="shared" si="3"/>
        <v>0</v>
      </c>
      <c r="L141" s="16"/>
    </row>
    <row r="142" spans="1:12">
      <c r="A142" s="1" t="s">
        <v>3602</v>
      </c>
      <c r="B142" s="5" t="s">
        <v>3534</v>
      </c>
      <c r="C142" s="11" t="s">
        <v>3534</v>
      </c>
      <c r="D142" s="16"/>
      <c r="E142" s="9"/>
      <c r="F142" s="16"/>
      <c r="G142" s="40"/>
      <c r="H142" s="16"/>
      <c r="I142" s="16"/>
      <c r="J142" s="9"/>
      <c r="K142" s="9">
        <f t="shared" si="3"/>
        <v>0</v>
      </c>
      <c r="L142" s="16"/>
    </row>
    <row r="143" spans="1:12">
      <c r="A143" s="1" t="s">
        <v>3612</v>
      </c>
      <c r="B143" s="1"/>
      <c r="C143" s="7"/>
      <c r="D143" s="16"/>
      <c r="E143" s="9"/>
      <c r="F143" s="16"/>
      <c r="G143" s="40"/>
      <c r="H143" s="16"/>
      <c r="I143" s="16"/>
      <c r="J143" s="9"/>
      <c r="K143" s="9">
        <f t="shared" si="3"/>
        <v>0</v>
      </c>
      <c r="L143" s="16"/>
    </row>
    <row r="144" spans="1:12">
      <c r="A144" s="1"/>
      <c r="B144" s="1"/>
      <c r="C144" s="7"/>
      <c r="D144" s="16"/>
      <c r="E144" s="9"/>
      <c r="F144" s="16"/>
      <c r="G144" s="40"/>
      <c r="H144" s="16"/>
      <c r="I144" s="16"/>
      <c r="J144" s="9"/>
      <c r="K144" s="9">
        <f t="shared" si="3"/>
        <v>0</v>
      </c>
      <c r="L144" s="16"/>
    </row>
    <row r="145" spans="1:12" ht="25.5" customHeight="1">
      <c r="A145" s="2" t="s">
        <v>3613</v>
      </c>
      <c r="B145" s="142" t="s">
        <v>3510</v>
      </c>
      <c r="C145" s="147" t="s">
        <v>3510</v>
      </c>
      <c r="D145" s="16"/>
      <c r="E145" s="9"/>
      <c r="F145" s="16"/>
      <c r="G145" s="23" t="s">
        <v>3983</v>
      </c>
      <c r="H145" s="16"/>
      <c r="I145" s="16"/>
      <c r="J145" s="9"/>
      <c r="K145" s="9">
        <f t="shared" si="3"/>
        <v>0</v>
      </c>
      <c r="L145" s="16"/>
    </row>
    <row r="146" spans="1:12">
      <c r="A146" s="3" t="s">
        <v>3569</v>
      </c>
      <c r="B146" s="142"/>
      <c r="C146" s="147"/>
      <c r="D146" s="16"/>
      <c r="E146" s="9"/>
      <c r="F146" s="16"/>
      <c r="G146" s="40"/>
      <c r="H146" s="16"/>
      <c r="I146" s="16"/>
      <c r="J146" s="9"/>
      <c r="K146" s="9">
        <f t="shared" si="3"/>
        <v>0</v>
      </c>
      <c r="L146" s="16"/>
    </row>
    <row r="147" spans="1:12">
      <c r="A147" s="1" t="s">
        <v>3573</v>
      </c>
      <c r="B147" s="7">
        <v>56.1</v>
      </c>
      <c r="C147" s="7">
        <v>57.85</v>
      </c>
      <c r="D147" s="16">
        <f t="shared" ref="D147:D160" si="8">(C147-B147)/B147</f>
        <v>3.1194295900178252E-2</v>
      </c>
      <c r="E147" s="9">
        <v>52.21</v>
      </c>
      <c r="F147" s="16">
        <f t="shared" ref="F147:F160" si="9">(C147-E147)/E147</f>
        <v>0.10802528251292856</v>
      </c>
      <c r="G147" s="40"/>
      <c r="H147" s="16"/>
      <c r="I147" s="16"/>
      <c r="J147" s="9"/>
      <c r="K147" s="9">
        <f t="shared" si="3"/>
        <v>0</v>
      </c>
      <c r="L147" s="16"/>
    </row>
    <row r="148" spans="1:12">
      <c r="A148" s="1" t="s">
        <v>3605</v>
      </c>
      <c r="B148" s="7">
        <v>50.64</v>
      </c>
      <c r="C148" s="7">
        <v>52.39</v>
      </c>
      <c r="D148" s="16">
        <f t="shared" si="8"/>
        <v>3.4557661927330174E-2</v>
      </c>
      <c r="E148" s="9">
        <v>52.21</v>
      </c>
      <c r="F148" s="16">
        <f t="shared" si="9"/>
        <v>3.4476153993487782E-3</v>
      </c>
      <c r="G148" s="40"/>
      <c r="H148" s="16"/>
      <c r="I148" s="16"/>
      <c r="J148" s="9"/>
      <c r="K148" s="9">
        <f t="shared" si="3"/>
        <v>0</v>
      </c>
      <c r="L148" s="16"/>
    </row>
    <row r="149" spans="1:12">
      <c r="A149" s="1" t="s">
        <v>3606</v>
      </c>
      <c r="B149" s="7">
        <v>48.72</v>
      </c>
      <c r="C149" s="7">
        <v>50.47</v>
      </c>
      <c r="D149" s="16">
        <f t="shared" si="8"/>
        <v>3.5919540229885055E-2</v>
      </c>
      <c r="E149" s="9">
        <v>52.21</v>
      </c>
      <c r="F149" s="16">
        <f t="shared" si="9"/>
        <v>-3.3326948860371616E-2</v>
      </c>
      <c r="G149" s="40"/>
      <c r="H149" s="16"/>
      <c r="I149" s="16"/>
      <c r="J149" s="9"/>
      <c r="K149" s="9">
        <f t="shared" si="3"/>
        <v>0</v>
      </c>
      <c r="L149" s="16"/>
    </row>
    <row r="150" spans="1:12">
      <c r="A150" s="1" t="s">
        <v>3575</v>
      </c>
      <c r="B150" s="7">
        <v>54.56</v>
      </c>
      <c r="C150" s="7">
        <v>56.31</v>
      </c>
      <c r="D150" s="16">
        <f t="shared" si="8"/>
        <v>3.2074780058651026E-2</v>
      </c>
      <c r="E150" s="9">
        <v>52.21</v>
      </c>
      <c r="F150" s="16">
        <f t="shared" si="9"/>
        <v>7.8529017429611214E-2</v>
      </c>
      <c r="G150" s="40"/>
      <c r="H150" s="16"/>
      <c r="I150" s="16"/>
      <c r="J150" s="9"/>
      <c r="K150" s="9">
        <f t="shared" si="3"/>
        <v>0</v>
      </c>
      <c r="L150" s="16"/>
    </row>
    <row r="151" spans="1:12">
      <c r="A151" s="1" t="s">
        <v>3607</v>
      </c>
      <c r="B151" s="7">
        <v>50.43</v>
      </c>
      <c r="C151" s="7">
        <v>52.18</v>
      </c>
      <c r="D151" s="16">
        <f t="shared" si="8"/>
        <v>3.4701566527860397E-2</v>
      </c>
      <c r="E151" s="9">
        <v>52.21</v>
      </c>
      <c r="F151" s="16">
        <f t="shared" si="9"/>
        <v>-5.746025665581524E-4</v>
      </c>
      <c r="G151" s="40"/>
      <c r="H151" s="16"/>
      <c r="I151" s="16"/>
      <c r="J151" s="9"/>
      <c r="K151" s="9">
        <f t="shared" si="3"/>
        <v>0</v>
      </c>
      <c r="L151" s="16"/>
    </row>
    <row r="152" spans="1:12">
      <c r="A152" s="1" t="s">
        <v>3608</v>
      </c>
      <c r="B152" s="7">
        <v>48.52</v>
      </c>
      <c r="C152" s="7">
        <v>50.27</v>
      </c>
      <c r="D152" s="16">
        <f t="shared" si="8"/>
        <v>3.6067600989282765E-2</v>
      </c>
      <c r="E152" s="9">
        <v>52.21</v>
      </c>
      <c r="F152" s="16">
        <f t="shared" si="9"/>
        <v>-3.7157632637425733E-2</v>
      </c>
      <c r="G152" s="40"/>
      <c r="H152" s="16"/>
      <c r="I152" s="16"/>
      <c r="J152" s="9"/>
      <c r="K152" s="9">
        <f t="shared" si="3"/>
        <v>0</v>
      </c>
      <c r="L152" s="16"/>
    </row>
    <row r="153" spans="1:12">
      <c r="A153" s="1" t="s">
        <v>3576</v>
      </c>
      <c r="B153" s="7">
        <v>53.11</v>
      </c>
      <c r="C153" s="7">
        <v>54.86</v>
      </c>
      <c r="D153" s="16">
        <f t="shared" si="8"/>
        <v>3.2950480135567693E-2</v>
      </c>
      <c r="E153" s="9">
        <v>52.21</v>
      </c>
      <c r="F153" s="16">
        <f t="shared" si="9"/>
        <v>5.075656004596818E-2</v>
      </c>
      <c r="G153" s="40"/>
      <c r="H153" s="16"/>
      <c r="I153" s="16"/>
      <c r="J153" s="9"/>
      <c r="K153" s="9">
        <f t="shared" si="3"/>
        <v>0</v>
      </c>
      <c r="L153" s="16"/>
    </row>
    <row r="154" spans="1:12">
      <c r="A154" s="1" t="s">
        <v>3609</v>
      </c>
      <c r="B154" s="7">
        <v>50.21</v>
      </c>
      <c r="C154" s="7">
        <v>51.96</v>
      </c>
      <c r="D154" s="16">
        <f t="shared" si="8"/>
        <v>3.4853614817765388E-2</v>
      </c>
      <c r="E154" s="9">
        <v>52.21</v>
      </c>
      <c r="F154" s="16">
        <f t="shared" si="9"/>
        <v>-4.7883547213177554E-3</v>
      </c>
      <c r="G154" s="40"/>
      <c r="H154" s="16"/>
      <c r="I154" s="16"/>
      <c r="J154" s="9"/>
      <c r="K154" s="9">
        <f t="shared" si="3"/>
        <v>0</v>
      </c>
      <c r="L154" s="16"/>
    </row>
    <row r="155" spans="1:12">
      <c r="A155" s="1" t="s">
        <v>3610</v>
      </c>
      <c r="B155" s="7">
        <v>48.29</v>
      </c>
      <c r="C155" s="7">
        <v>50.04</v>
      </c>
      <c r="D155" s="16">
        <f t="shared" si="8"/>
        <v>3.6239387036653553E-2</v>
      </c>
      <c r="E155" s="9">
        <v>52.21</v>
      </c>
      <c r="F155" s="16">
        <f t="shared" si="9"/>
        <v>-4.1562918981038144E-2</v>
      </c>
      <c r="G155" s="40"/>
      <c r="H155" s="16"/>
      <c r="I155" s="16"/>
      <c r="J155" s="9"/>
      <c r="K155" s="9">
        <f t="shared" si="3"/>
        <v>0</v>
      </c>
      <c r="L155" s="16"/>
    </row>
    <row r="156" spans="1:12">
      <c r="A156" s="1" t="s">
        <v>3577</v>
      </c>
      <c r="B156" s="7">
        <v>51.6</v>
      </c>
      <c r="C156" s="7">
        <v>53.35</v>
      </c>
      <c r="D156" s="16">
        <f t="shared" si="8"/>
        <v>3.391472868217054E-2</v>
      </c>
      <c r="E156" s="9">
        <v>52.21</v>
      </c>
      <c r="F156" s="16">
        <f t="shared" si="9"/>
        <v>2.1834897529208974E-2</v>
      </c>
      <c r="G156" s="40"/>
      <c r="H156" s="16"/>
      <c r="I156" s="16"/>
      <c r="J156" s="9"/>
      <c r="K156" s="9">
        <f t="shared" si="3"/>
        <v>0</v>
      </c>
      <c r="L156" s="16"/>
    </row>
    <row r="157" spans="1:12">
      <c r="A157" s="1" t="s">
        <v>3579</v>
      </c>
      <c r="B157" s="7">
        <v>50.49</v>
      </c>
      <c r="C157" s="7">
        <v>52.24</v>
      </c>
      <c r="D157" s="16">
        <f t="shared" si="8"/>
        <v>3.4660328777975834E-2</v>
      </c>
      <c r="E157" s="9">
        <v>52.21</v>
      </c>
      <c r="F157" s="16">
        <f t="shared" si="9"/>
        <v>5.746025665581524E-4</v>
      </c>
      <c r="G157" s="40"/>
      <c r="H157" s="16"/>
      <c r="I157" s="16"/>
      <c r="J157" s="9"/>
      <c r="K157" s="9">
        <f t="shared" si="3"/>
        <v>0</v>
      </c>
      <c r="L157" s="16"/>
    </row>
    <row r="158" spans="1:12">
      <c r="A158" s="1" t="s">
        <v>3580</v>
      </c>
      <c r="B158" s="7">
        <v>49.38</v>
      </c>
      <c r="C158" s="7">
        <v>51.13</v>
      </c>
      <c r="D158" s="16">
        <f t="shared" si="8"/>
        <v>3.5439449169704332E-2</v>
      </c>
      <c r="E158" s="9">
        <v>52.21</v>
      </c>
      <c r="F158" s="16">
        <f t="shared" si="9"/>
        <v>-2.0685692396092671E-2</v>
      </c>
      <c r="G158" s="40"/>
      <c r="H158" s="16"/>
      <c r="I158" s="16"/>
      <c r="J158" s="9"/>
      <c r="K158" s="9">
        <f t="shared" si="3"/>
        <v>0</v>
      </c>
      <c r="L158" s="16"/>
    </row>
    <row r="159" spans="1:12">
      <c r="A159" s="1" t="s">
        <v>3593</v>
      </c>
      <c r="B159" s="7">
        <v>48.42</v>
      </c>
      <c r="C159" s="7">
        <v>50.17</v>
      </c>
      <c r="D159" s="16">
        <f t="shared" si="8"/>
        <v>3.6142090045435768E-2</v>
      </c>
      <c r="E159" s="9">
        <v>52.21</v>
      </c>
      <c r="F159" s="16">
        <f t="shared" si="9"/>
        <v>-3.9072974525952868E-2</v>
      </c>
      <c r="G159" s="40"/>
      <c r="H159" s="16"/>
      <c r="I159" s="16"/>
      <c r="J159" s="9"/>
      <c r="K159" s="9">
        <f t="shared" si="3"/>
        <v>0</v>
      </c>
      <c r="L159" s="16"/>
    </row>
    <row r="160" spans="1:12">
      <c r="A160" s="1" t="s">
        <v>3594</v>
      </c>
      <c r="B160" s="7">
        <v>47.46</v>
      </c>
      <c r="C160" s="7">
        <v>49.21</v>
      </c>
      <c r="D160" s="16">
        <f t="shared" si="8"/>
        <v>3.687315634218289E-2</v>
      </c>
      <c r="E160" s="9">
        <v>52.21</v>
      </c>
      <c r="F160" s="16">
        <f t="shared" si="9"/>
        <v>-5.7460256655813065E-2</v>
      </c>
      <c r="G160" s="40"/>
      <c r="H160" s="16"/>
      <c r="I160" s="16"/>
      <c r="J160" s="9"/>
      <c r="K160" s="9">
        <f t="shared" si="3"/>
        <v>0</v>
      </c>
      <c r="L160" s="16"/>
    </row>
    <row r="161" spans="1:12">
      <c r="A161" s="1" t="s">
        <v>3614</v>
      </c>
      <c r="B161" s="5" t="s">
        <v>3534</v>
      </c>
      <c r="C161" s="11" t="s">
        <v>3534</v>
      </c>
      <c r="D161" s="16"/>
      <c r="E161" s="9"/>
      <c r="F161" s="16"/>
      <c r="G161" s="40"/>
      <c r="H161" s="16"/>
      <c r="I161" s="16"/>
      <c r="J161" s="9"/>
      <c r="K161" s="9">
        <f t="shared" si="3"/>
        <v>0</v>
      </c>
      <c r="L161" s="16"/>
    </row>
    <row r="162" spans="1:12">
      <c r="A162" s="1" t="s">
        <v>3615</v>
      </c>
      <c r="B162" s="5" t="s">
        <v>3534</v>
      </c>
      <c r="C162" s="11" t="s">
        <v>3534</v>
      </c>
      <c r="D162" s="16"/>
      <c r="E162" s="9"/>
      <c r="F162" s="16"/>
      <c r="G162" s="40"/>
      <c r="H162" s="16"/>
      <c r="I162" s="16"/>
      <c r="J162" s="9"/>
      <c r="K162" s="9">
        <f t="shared" si="3"/>
        <v>0</v>
      </c>
      <c r="L162" s="16"/>
    </row>
    <row r="163" spans="1:12">
      <c r="A163" s="1"/>
      <c r="B163" s="1"/>
      <c r="C163" s="7"/>
      <c r="D163" s="16"/>
      <c r="E163" s="9"/>
      <c r="F163" s="16"/>
      <c r="G163" s="40"/>
      <c r="H163" s="16"/>
      <c r="I163" s="16"/>
      <c r="J163" s="9"/>
      <c r="K163" s="9">
        <f t="shared" si="3"/>
        <v>0</v>
      </c>
      <c r="L163" s="16"/>
    </row>
    <row r="164" spans="1:12">
      <c r="A164" s="143"/>
      <c r="B164" s="143"/>
      <c r="C164" s="7"/>
      <c r="D164" s="16"/>
      <c r="E164" s="9"/>
      <c r="F164" s="16"/>
      <c r="G164" s="40"/>
      <c r="H164" s="16"/>
      <c r="I164" s="16"/>
      <c r="J164" s="9"/>
      <c r="K164" s="9">
        <f t="shared" si="3"/>
        <v>0</v>
      </c>
      <c r="L164" s="16"/>
    </row>
    <row r="165" spans="1:12" ht="12.75" customHeight="1">
      <c r="A165" s="144" t="s">
        <v>3866</v>
      </c>
      <c r="B165" s="144"/>
      <c r="C165" s="10" t="s">
        <v>3498</v>
      </c>
      <c r="D165" s="43"/>
      <c r="E165" s="44"/>
      <c r="F165" s="43"/>
      <c r="G165" s="23" t="s">
        <v>3983</v>
      </c>
      <c r="H165" s="43">
        <f>AVERAGE(F166:F173)</f>
        <v>-4.5145056246299279E-3</v>
      </c>
      <c r="I165" s="43"/>
      <c r="J165" s="44"/>
      <c r="K165" s="9">
        <f t="shared" si="3"/>
        <v>0</v>
      </c>
      <c r="L165" s="43"/>
    </row>
    <row r="166" spans="1:12">
      <c r="A166" s="1" t="s">
        <v>3617</v>
      </c>
      <c r="B166" s="7">
        <v>46.23</v>
      </c>
      <c r="C166" s="7">
        <v>32.74</v>
      </c>
      <c r="D166" s="16">
        <f t="shared" ref="D166:D173" si="10">(C166-B166)/B166</f>
        <v>-0.29180186026389782</v>
      </c>
      <c r="E166" s="9">
        <v>33.78</v>
      </c>
      <c r="F166" s="16">
        <f t="shared" ref="F166:F173" si="11">(C166-E166)/E166</f>
        <v>-3.0787448194197722E-2</v>
      </c>
      <c r="G166" s="40"/>
      <c r="H166" s="16"/>
      <c r="I166" s="16"/>
      <c r="J166" s="9"/>
      <c r="K166" s="9">
        <f t="shared" si="3"/>
        <v>0</v>
      </c>
      <c r="L166" s="16"/>
    </row>
    <row r="167" spans="1:12">
      <c r="A167" s="1" t="s">
        <v>3618</v>
      </c>
      <c r="B167" s="7">
        <v>46.23</v>
      </c>
      <c r="C167" s="7">
        <v>33.590000000000003</v>
      </c>
      <c r="D167" s="16">
        <f t="shared" si="10"/>
        <v>-0.2734155310404498</v>
      </c>
      <c r="E167" s="9">
        <v>33.78</v>
      </c>
      <c r="F167" s="16">
        <f t="shared" si="11"/>
        <v>-5.6246299585552906E-3</v>
      </c>
      <c r="G167" s="40"/>
      <c r="H167" s="16"/>
      <c r="I167" s="16"/>
      <c r="J167" s="9"/>
      <c r="K167" s="9">
        <f t="shared" si="3"/>
        <v>0</v>
      </c>
      <c r="L167" s="16"/>
    </row>
    <row r="168" spans="1:12">
      <c r="A168" s="1" t="s">
        <v>3619</v>
      </c>
      <c r="B168" s="7">
        <v>46.23</v>
      </c>
      <c r="C168" s="7">
        <v>33.24</v>
      </c>
      <c r="D168" s="16">
        <f t="shared" si="10"/>
        <v>-0.28098637248539898</v>
      </c>
      <c r="E168" s="9">
        <v>33.78</v>
      </c>
      <c r="F168" s="16">
        <f t="shared" si="11"/>
        <v>-1.598579040852573E-2</v>
      </c>
      <c r="G168" s="40"/>
      <c r="H168" s="16"/>
      <c r="I168" s="16"/>
      <c r="J168" s="9"/>
      <c r="K168" s="9">
        <f t="shared" si="3"/>
        <v>0</v>
      </c>
      <c r="L168" s="16"/>
    </row>
    <row r="169" spans="1:12">
      <c r="A169" s="1" t="s">
        <v>3620</v>
      </c>
      <c r="B169" s="7">
        <v>46.23</v>
      </c>
      <c r="C169" s="7">
        <v>33.74</v>
      </c>
      <c r="D169" s="16">
        <f t="shared" si="10"/>
        <v>-0.27017088470690021</v>
      </c>
      <c r="E169" s="9">
        <v>33.78</v>
      </c>
      <c r="F169" s="16">
        <f t="shared" si="11"/>
        <v>-1.1841326228537344E-3</v>
      </c>
      <c r="G169" s="40"/>
      <c r="H169" s="16"/>
      <c r="I169" s="16"/>
      <c r="J169" s="9"/>
      <c r="K169" s="9">
        <f t="shared" si="3"/>
        <v>0</v>
      </c>
      <c r="L169" s="16"/>
    </row>
    <row r="170" spans="1:12">
      <c r="A170" s="1" t="s">
        <v>3621</v>
      </c>
      <c r="B170" s="7">
        <v>46.23</v>
      </c>
      <c r="C170" s="7">
        <v>34.74</v>
      </c>
      <c r="D170" s="16">
        <f t="shared" si="10"/>
        <v>-0.24853990914990257</v>
      </c>
      <c r="E170" s="9">
        <v>33.78</v>
      </c>
      <c r="F170" s="16">
        <f t="shared" si="11"/>
        <v>2.8419182948490256E-2</v>
      </c>
      <c r="G170" s="40"/>
      <c r="H170" s="16"/>
      <c r="I170" s="16"/>
      <c r="J170" s="9"/>
      <c r="K170" s="9">
        <f t="shared" si="3"/>
        <v>0</v>
      </c>
      <c r="L170" s="16"/>
    </row>
    <row r="171" spans="1:12">
      <c r="A171" s="1" t="s">
        <v>3622</v>
      </c>
      <c r="B171" s="7">
        <v>46.23</v>
      </c>
      <c r="C171" s="7">
        <v>33.24</v>
      </c>
      <c r="D171" s="16">
        <f t="shared" si="10"/>
        <v>-0.28098637248539898</v>
      </c>
      <c r="E171" s="9">
        <v>33.78</v>
      </c>
      <c r="F171" s="16">
        <f t="shared" si="11"/>
        <v>-1.598579040852573E-2</v>
      </c>
      <c r="G171" s="40"/>
      <c r="H171" s="16"/>
      <c r="I171" s="16"/>
      <c r="J171" s="9"/>
      <c r="K171" s="9">
        <f t="shared" si="3"/>
        <v>0</v>
      </c>
      <c r="L171" s="16"/>
    </row>
    <row r="172" spans="1:12">
      <c r="A172" s="1" t="s">
        <v>3623</v>
      </c>
      <c r="B172" s="7">
        <v>46.23</v>
      </c>
      <c r="C172" s="7">
        <v>33.74</v>
      </c>
      <c r="D172" s="16">
        <f t="shared" si="10"/>
        <v>-0.27017088470690021</v>
      </c>
      <c r="E172" s="9">
        <v>33.78</v>
      </c>
      <c r="F172" s="16">
        <f t="shared" si="11"/>
        <v>-1.1841326228537344E-3</v>
      </c>
      <c r="G172" s="40"/>
      <c r="H172" s="16"/>
      <c r="I172" s="16"/>
      <c r="J172" s="9"/>
      <c r="K172" s="9">
        <f t="shared" ref="K172:K235" si="12">J172*1.4</f>
        <v>0</v>
      </c>
      <c r="L172" s="16"/>
    </row>
    <row r="173" spans="1:12">
      <c r="A173" s="1" t="s">
        <v>3624</v>
      </c>
      <c r="B173" s="7">
        <v>46.23</v>
      </c>
      <c r="C173" s="7">
        <v>33.99</v>
      </c>
      <c r="D173" s="16">
        <f t="shared" si="10"/>
        <v>-0.26476314081765079</v>
      </c>
      <c r="E173" s="9">
        <v>33.78</v>
      </c>
      <c r="F173" s="16">
        <f t="shared" si="11"/>
        <v>6.216696269982263E-3</v>
      </c>
      <c r="G173" s="40"/>
      <c r="H173" s="16"/>
      <c r="I173" s="16"/>
      <c r="J173" s="9"/>
      <c r="K173" s="9">
        <f t="shared" si="12"/>
        <v>0</v>
      </c>
      <c r="L173" s="16"/>
    </row>
    <row r="174" spans="1:12" ht="12.75" customHeight="1">
      <c r="A174" s="143" t="s">
        <v>3943</v>
      </c>
      <c r="B174" s="143"/>
      <c r="C174" s="7"/>
      <c r="D174" s="16"/>
      <c r="E174" s="9"/>
      <c r="F174" s="16"/>
      <c r="G174" s="40"/>
      <c r="H174" s="16"/>
      <c r="I174" s="16"/>
      <c r="J174" s="9"/>
      <c r="K174" s="9">
        <f t="shared" si="12"/>
        <v>0</v>
      </c>
      <c r="L174" s="16"/>
    </row>
    <row r="175" spans="1:12">
      <c r="A175" s="1"/>
      <c r="B175" s="1"/>
      <c r="C175" s="7"/>
      <c r="D175" s="16"/>
      <c r="E175" s="9"/>
      <c r="F175" s="16"/>
      <c r="G175" s="40"/>
      <c r="H175" s="16"/>
      <c r="I175" s="16"/>
      <c r="J175" s="9"/>
      <c r="K175" s="9">
        <f t="shared" si="12"/>
        <v>0</v>
      </c>
      <c r="L175" s="16"/>
    </row>
    <row r="176" spans="1:12">
      <c r="A176" s="1"/>
      <c r="B176" s="1"/>
      <c r="C176" s="7"/>
      <c r="D176" s="16"/>
      <c r="E176" s="9"/>
      <c r="F176" s="16"/>
      <c r="G176" s="40"/>
      <c r="H176" s="16"/>
      <c r="I176" s="16"/>
      <c r="J176" s="9"/>
      <c r="K176" s="9">
        <f t="shared" si="12"/>
        <v>0</v>
      </c>
      <c r="L176" s="16"/>
    </row>
    <row r="177" spans="1:12">
      <c r="A177" s="2" t="s">
        <v>3626</v>
      </c>
      <c r="B177" s="1"/>
      <c r="C177" s="7"/>
      <c r="D177" s="16"/>
      <c r="E177" s="9"/>
      <c r="F177" s="16"/>
      <c r="G177" s="40"/>
      <c r="H177" s="16"/>
      <c r="I177" s="16"/>
      <c r="J177" s="9"/>
      <c r="K177" s="9">
        <f t="shared" si="12"/>
        <v>0</v>
      </c>
      <c r="L177" s="16"/>
    </row>
    <row r="178" spans="1:12" ht="25.5">
      <c r="A178" s="1" t="s">
        <v>3869</v>
      </c>
      <c r="B178" s="7">
        <v>58.47</v>
      </c>
      <c r="C178" s="7">
        <v>58.47</v>
      </c>
      <c r="D178" s="16">
        <f t="shared" ref="D178:D183" si="13">(C178-B178)/B178</f>
        <v>0</v>
      </c>
      <c r="E178" s="9"/>
      <c r="F178" s="16"/>
      <c r="G178" s="40"/>
      <c r="H178" s="16"/>
      <c r="I178" s="16"/>
      <c r="J178" s="9"/>
      <c r="K178" s="9">
        <f t="shared" si="12"/>
        <v>0</v>
      </c>
      <c r="L178" s="16"/>
    </row>
    <row r="179" spans="1:12">
      <c r="A179" s="1" t="s">
        <v>3870</v>
      </c>
      <c r="B179" s="7">
        <v>58.47</v>
      </c>
      <c r="C179" s="7">
        <v>58.47</v>
      </c>
      <c r="D179" s="16">
        <f t="shared" si="13"/>
        <v>0</v>
      </c>
      <c r="E179" s="9"/>
      <c r="F179" s="16"/>
      <c r="G179" s="40"/>
      <c r="H179" s="16"/>
      <c r="I179" s="16"/>
      <c r="J179" s="9"/>
      <c r="K179" s="9">
        <f t="shared" si="12"/>
        <v>0</v>
      </c>
      <c r="L179" s="16"/>
    </row>
    <row r="180" spans="1:12">
      <c r="A180" s="1" t="s">
        <v>3628</v>
      </c>
      <c r="B180" s="7">
        <v>62.05</v>
      </c>
      <c r="C180" s="7">
        <v>62.05</v>
      </c>
      <c r="D180" s="16">
        <f t="shared" si="13"/>
        <v>0</v>
      </c>
      <c r="E180" s="9"/>
      <c r="F180" s="16"/>
      <c r="G180" s="40"/>
      <c r="H180" s="16"/>
      <c r="I180" s="16"/>
      <c r="J180" s="9"/>
      <c r="K180" s="9">
        <f t="shared" si="12"/>
        <v>0</v>
      </c>
      <c r="L180" s="16"/>
    </row>
    <row r="181" spans="1:12">
      <c r="A181" s="1" t="s">
        <v>3871</v>
      </c>
      <c r="B181" s="7">
        <v>58.47</v>
      </c>
      <c r="C181" s="7">
        <v>58.47</v>
      </c>
      <c r="D181" s="16">
        <f t="shared" si="13"/>
        <v>0</v>
      </c>
      <c r="E181" s="9"/>
      <c r="F181" s="16"/>
      <c r="G181" s="40"/>
      <c r="H181" s="16"/>
      <c r="I181" s="16"/>
      <c r="J181" s="9"/>
      <c r="K181" s="9">
        <f t="shared" si="12"/>
        <v>0</v>
      </c>
      <c r="L181" s="16"/>
    </row>
    <row r="182" spans="1:12">
      <c r="A182" s="1" t="s">
        <v>3872</v>
      </c>
      <c r="B182" s="7">
        <v>58.47</v>
      </c>
      <c r="C182" s="7">
        <v>58.47</v>
      </c>
      <c r="D182" s="16">
        <f t="shared" si="13"/>
        <v>0</v>
      </c>
      <c r="E182" s="9"/>
      <c r="F182" s="16"/>
      <c r="G182" s="40"/>
      <c r="H182" s="16"/>
      <c r="I182" s="16"/>
      <c r="J182" s="9"/>
      <c r="K182" s="9">
        <f t="shared" si="12"/>
        <v>0</v>
      </c>
      <c r="L182" s="16"/>
    </row>
    <row r="183" spans="1:12">
      <c r="A183" s="1" t="s">
        <v>3873</v>
      </c>
      <c r="B183" s="7">
        <v>58.47</v>
      </c>
      <c r="C183" s="7">
        <v>58.47</v>
      </c>
      <c r="D183" s="16">
        <f t="shared" si="13"/>
        <v>0</v>
      </c>
      <c r="E183" s="9"/>
      <c r="F183" s="16"/>
      <c r="G183" s="40"/>
      <c r="H183" s="16"/>
      <c r="I183" s="16"/>
      <c r="J183" s="9"/>
      <c r="K183" s="9">
        <f t="shared" si="12"/>
        <v>0</v>
      </c>
      <c r="L183" s="16"/>
    </row>
    <row r="184" spans="1:12">
      <c r="A184" s="143"/>
      <c r="B184" s="143"/>
      <c r="C184" s="7"/>
      <c r="D184" s="16"/>
      <c r="E184" s="9"/>
      <c r="F184" s="16"/>
      <c r="G184" s="40"/>
      <c r="H184" s="16"/>
      <c r="I184" s="16"/>
      <c r="J184" s="9"/>
      <c r="K184" s="9">
        <f t="shared" si="12"/>
        <v>0</v>
      </c>
      <c r="L184" s="16"/>
    </row>
    <row r="185" spans="1:12">
      <c r="A185" s="2" t="s">
        <v>3629</v>
      </c>
      <c r="B185" s="1"/>
      <c r="C185" s="31" t="s">
        <v>3981</v>
      </c>
      <c r="D185" s="43"/>
      <c r="E185" s="44"/>
      <c r="F185" s="43"/>
      <c r="G185" s="23" t="s">
        <v>3983</v>
      </c>
      <c r="H185" s="43">
        <f>AVERAGE(F186)</f>
        <v>-1.3407821229050787E-3</v>
      </c>
      <c r="I185" s="43"/>
      <c r="J185" s="44"/>
      <c r="K185" s="9">
        <f t="shared" si="12"/>
        <v>0</v>
      </c>
      <c r="L185" s="43"/>
    </row>
    <row r="186" spans="1:12">
      <c r="A186" s="1" t="s">
        <v>3694</v>
      </c>
      <c r="B186" s="7">
        <v>44.69</v>
      </c>
      <c r="C186" s="7">
        <v>44.69</v>
      </c>
      <c r="D186" s="16">
        <f>(C186-B186)/B186</f>
        <v>0</v>
      </c>
      <c r="E186" s="9">
        <v>44.75</v>
      </c>
      <c r="F186" s="16">
        <f>(C186-E186)/E186</f>
        <v>-1.3407821229050787E-3</v>
      </c>
      <c r="G186" s="40"/>
      <c r="H186" s="16"/>
      <c r="I186" s="16"/>
      <c r="J186" s="9"/>
      <c r="K186" s="9">
        <f t="shared" si="12"/>
        <v>0</v>
      </c>
      <c r="L186" s="16"/>
    </row>
    <row r="187" spans="1:12">
      <c r="A187" s="1"/>
      <c r="B187" s="1"/>
      <c r="C187" s="7"/>
      <c r="D187" s="16"/>
      <c r="E187" s="9"/>
      <c r="F187" s="16"/>
      <c r="G187" s="40"/>
      <c r="H187" s="16"/>
      <c r="I187" s="16"/>
      <c r="J187" s="9"/>
      <c r="K187" s="9">
        <f t="shared" si="12"/>
        <v>0</v>
      </c>
      <c r="L187" s="16"/>
    </row>
    <row r="188" spans="1:12">
      <c r="A188" s="2" t="s">
        <v>3632</v>
      </c>
      <c r="B188" s="5" t="s">
        <v>3534</v>
      </c>
      <c r="C188" s="31" t="s">
        <v>3479</v>
      </c>
      <c r="D188" s="43"/>
      <c r="E188" s="44"/>
      <c r="F188" s="43"/>
      <c r="G188" s="23" t="s">
        <v>3984</v>
      </c>
      <c r="H188" s="43"/>
      <c r="I188" s="43">
        <f>AVERAGE(F189:F191)</f>
        <v>-0.16776171703898371</v>
      </c>
      <c r="J188" s="44"/>
      <c r="K188" s="9">
        <f t="shared" si="12"/>
        <v>0</v>
      </c>
      <c r="L188" s="43"/>
    </row>
    <row r="189" spans="1:12">
      <c r="A189" s="1" t="s">
        <v>3876</v>
      </c>
      <c r="B189" s="7">
        <v>34.28</v>
      </c>
      <c r="C189" s="7">
        <v>19</v>
      </c>
      <c r="D189" s="16">
        <f>(C189-B189)/B189</f>
        <v>-0.44574095682613774</v>
      </c>
      <c r="E189" s="9">
        <v>22.83</v>
      </c>
      <c r="F189" s="16">
        <f>(C189-E189)/E189</f>
        <v>-0.16776171703898374</v>
      </c>
      <c r="G189" s="40"/>
      <c r="H189" s="16"/>
      <c r="I189" s="16"/>
      <c r="J189" s="9"/>
      <c r="K189" s="9">
        <f t="shared" si="12"/>
        <v>0</v>
      </c>
      <c r="L189" s="16"/>
    </row>
    <row r="190" spans="1:12">
      <c r="A190" s="1" t="s">
        <v>3955</v>
      </c>
      <c r="B190" s="7">
        <v>34.28</v>
      </c>
      <c r="C190" s="7">
        <v>19</v>
      </c>
      <c r="D190" s="16">
        <f>(C190-B190)/B190</f>
        <v>-0.44574095682613774</v>
      </c>
      <c r="E190" s="9">
        <v>22.83</v>
      </c>
      <c r="F190" s="16">
        <f>(C190-E190)/E190</f>
        <v>-0.16776171703898374</v>
      </c>
      <c r="G190" s="40"/>
      <c r="H190" s="16"/>
      <c r="I190" s="16"/>
      <c r="J190" s="9"/>
      <c r="K190" s="9">
        <f t="shared" si="12"/>
        <v>0</v>
      </c>
      <c r="L190" s="16"/>
    </row>
    <row r="191" spans="1:12">
      <c r="A191" s="1" t="s">
        <v>3956</v>
      </c>
      <c r="B191" s="7">
        <v>34.28</v>
      </c>
      <c r="C191" s="7">
        <v>19</v>
      </c>
      <c r="D191" s="16">
        <f>(C191-B191)/B191</f>
        <v>-0.44574095682613774</v>
      </c>
      <c r="E191" s="9">
        <v>22.83</v>
      </c>
      <c r="F191" s="16">
        <f>(C191-E191)/E191</f>
        <v>-0.16776171703898374</v>
      </c>
      <c r="G191" s="40"/>
      <c r="H191" s="16"/>
      <c r="I191" s="16"/>
      <c r="J191" s="9"/>
      <c r="K191" s="9">
        <f t="shared" si="12"/>
        <v>0</v>
      </c>
      <c r="L191" s="16"/>
    </row>
    <row r="192" spans="1:12">
      <c r="A192" s="1"/>
      <c r="B192" s="1"/>
      <c r="C192" s="7"/>
      <c r="D192" s="16"/>
      <c r="E192" s="9"/>
      <c r="F192" s="16"/>
      <c r="G192" s="40"/>
      <c r="H192" s="16"/>
      <c r="I192" s="16"/>
      <c r="J192" s="9"/>
      <c r="K192" s="9">
        <f t="shared" si="12"/>
        <v>0</v>
      </c>
      <c r="L192" s="16"/>
    </row>
    <row r="193" spans="1:12">
      <c r="A193" s="2" t="s">
        <v>3636</v>
      </c>
      <c r="B193" s="5" t="s">
        <v>3534</v>
      </c>
      <c r="C193" s="31" t="s">
        <v>3479</v>
      </c>
      <c r="D193" s="43"/>
      <c r="E193" s="44"/>
      <c r="F193" s="43"/>
      <c r="G193" s="23" t="s">
        <v>3984</v>
      </c>
      <c r="H193" s="43"/>
      <c r="I193" s="43">
        <f>AVERAGE(F194:F196)</f>
        <v>0</v>
      </c>
      <c r="J193" s="44"/>
      <c r="K193" s="9">
        <f t="shared" si="12"/>
        <v>0</v>
      </c>
      <c r="L193" s="43"/>
    </row>
    <row r="194" spans="1:12">
      <c r="A194" s="1" t="s">
        <v>3637</v>
      </c>
      <c r="B194" s="7">
        <v>36.24</v>
      </c>
      <c r="C194" s="7">
        <v>19</v>
      </c>
      <c r="D194" s="16">
        <f>(C194-B194)/B194</f>
        <v>-0.47571743929359828</v>
      </c>
      <c r="E194" s="9">
        <v>19</v>
      </c>
      <c r="F194" s="16">
        <f>(C194-E194)/E194</f>
        <v>0</v>
      </c>
      <c r="G194" s="40"/>
      <c r="H194" s="16"/>
      <c r="I194" s="16"/>
      <c r="J194" s="9"/>
      <c r="K194" s="9">
        <f t="shared" si="12"/>
        <v>0</v>
      </c>
      <c r="L194" s="16"/>
    </row>
    <row r="195" spans="1:12">
      <c r="A195" s="1" t="s">
        <v>3877</v>
      </c>
      <c r="B195" s="7">
        <v>36.24</v>
      </c>
      <c r="C195" s="7">
        <v>19</v>
      </c>
      <c r="D195" s="16">
        <f>(C195-B195)/B195</f>
        <v>-0.47571743929359828</v>
      </c>
      <c r="E195" s="9">
        <v>19</v>
      </c>
      <c r="F195" s="16">
        <f>(C195-E195)/E195</f>
        <v>0</v>
      </c>
      <c r="G195" s="40"/>
      <c r="H195" s="16"/>
      <c r="I195" s="16"/>
      <c r="J195" s="9"/>
      <c r="K195" s="9">
        <f t="shared" si="12"/>
        <v>0</v>
      </c>
      <c r="L195" s="16"/>
    </row>
    <row r="196" spans="1:12">
      <c r="A196" s="1" t="s">
        <v>3878</v>
      </c>
      <c r="B196" s="7">
        <v>36.24</v>
      </c>
      <c r="C196" s="7">
        <v>19</v>
      </c>
      <c r="D196" s="16">
        <f>(C196-B196)/B196</f>
        <v>-0.47571743929359828</v>
      </c>
      <c r="E196" s="9">
        <v>19</v>
      </c>
      <c r="F196" s="16">
        <f>(C196-E196)/E196</f>
        <v>0</v>
      </c>
      <c r="G196" s="40"/>
      <c r="H196" s="16"/>
      <c r="I196" s="16"/>
      <c r="J196" s="9"/>
      <c r="K196" s="9">
        <f t="shared" si="12"/>
        <v>0</v>
      </c>
      <c r="L196" s="16"/>
    </row>
    <row r="197" spans="1:12">
      <c r="A197" s="1"/>
      <c r="B197" s="7"/>
      <c r="C197" s="7"/>
      <c r="D197" s="16"/>
      <c r="E197" s="9"/>
      <c r="F197" s="16"/>
      <c r="G197" s="40"/>
      <c r="H197" s="16"/>
      <c r="I197" s="16"/>
      <c r="J197" s="9"/>
      <c r="K197" s="9">
        <f t="shared" si="12"/>
        <v>0</v>
      </c>
      <c r="L197" s="16"/>
    </row>
    <row r="198" spans="1:12" ht="25.5">
      <c r="A198" s="2" t="s">
        <v>3638</v>
      </c>
      <c r="B198" s="5" t="s">
        <v>3534</v>
      </c>
      <c r="C198" s="31" t="s">
        <v>3496</v>
      </c>
      <c r="D198" s="43"/>
      <c r="E198" s="44"/>
      <c r="F198" s="43"/>
      <c r="G198" s="23" t="s">
        <v>3984</v>
      </c>
      <c r="H198" s="43"/>
      <c r="I198" s="43">
        <f>AVERAGE(F199)</f>
        <v>0</v>
      </c>
      <c r="J198" s="44"/>
      <c r="K198" s="9">
        <f t="shared" si="12"/>
        <v>0</v>
      </c>
      <c r="L198" s="43"/>
    </row>
    <row r="199" spans="1:12">
      <c r="A199" s="1" t="s">
        <v>3915</v>
      </c>
      <c r="B199" s="7">
        <v>16.04</v>
      </c>
      <c r="C199" s="7">
        <v>18.73</v>
      </c>
      <c r="D199" s="16">
        <f>(C199-B199)/B199</f>
        <v>0.16770573566084798</v>
      </c>
      <c r="E199" s="9">
        <v>18.73</v>
      </c>
      <c r="F199" s="16">
        <f>(C199-E199)/E199</f>
        <v>0</v>
      </c>
      <c r="G199" s="40"/>
      <c r="H199" s="16"/>
      <c r="I199" s="16"/>
      <c r="J199" s="9"/>
      <c r="K199" s="9">
        <f t="shared" si="12"/>
        <v>0</v>
      </c>
      <c r="L199" s="16"/>
    </row>
    <row r="200" spans="1:12">
      <c r="A200" s="1"/>
      <c r="B200" s="1"/>
      <c r="C200" s="7"/>
      <c r="D200" s="16"/>
      <c r="E200" s="9"/>
      <c r="F200" s="16"/>
      <c r="G200" s="40"/>
      <c r="H200" s="16"/>
      <c r="I200" s="16"/>
      <c r="J200" s="9"/>
      <c r="K200" s="9">
        <f t="shared" si="12"/>
        <v>0</v>
      </c>
      <c r="L200" s="16"/>
    </row>
    <row r="201" spans="1:12">
      <c r="A201" s="2" t="s">
        <v>3640</v>
      </c>
      <c r="B201" s="1"/>
      <c r="C201" s="31" t="s">
        <v>3487</v>
      </c>
      <c r="D201" s="43"/>
      <c r="E201" s="44"/>
      <c r="F201" s="43"/>
      <c r="G201" s="23" t="s">
        <v>3983</v>
      </c>
      <c r="H201" s="43">
        <f>AVERAGE(F202:F204)</f>
        <v>8.5341024770953566E-2</v>
      </c>
      <c r="I201" s="43"/>
      <c r="J201" s="44"/>
      <c r="K201" s="9">
        <f t="shared" si="12"/>
        <v>0</v>
      </c>
      <c r="L201" s="43"/>
    </row>
    <row r="202" spans="1:12">
      <c r="A202" s="1" t="s">
        <v>3934</v>
      </c>
      <c r="B202" s="7">
        <v>30</v>
      </c>
      <c r="C202" s="7">
        <v>59.52</v>
      </c>
      <c r="D202" s="16">
        <f>(C202-B202)/B202</f>
        <v>0.9840000000000001</v>
      </c>
      <c r="E202" s="9">
        <v>58.94</v>
      </c>
      <c r="F202" s="16">
        <f>(C202-E202)/E202</f>
        <v>9.840515778758151E-3</v>
      </c>
      <c r="G202" s="40"/>
      <c r="H202" s="16"/>
      <c r="I202" s="16"/>
      <c r="J202" s="9"/>
      <c r="K202" s="9">
        <f t="shared" si="12"/>
        <v>0</v>
      </c>
      <c r="L202" s="16"/>
    </row>
    <row r="203" spans="1:12">
      <c r="A203" s="1" t="s">
        <v>3935</v>
      </c>
      <c r="B203" s="7">
        <v>30</v>
      </c>
      <c r="C203" s="7">
        <v>63.97</v>
      </c>
      <c r="D203" s="16">
        <f>(C203-B203)/B203</f>
        <v>1.1323333333333332</v>
      </c>
      <c r="E203" s="9">
        <v>58.94</v>
      </c>
      <c r="F203" s="16">
        <f>(C203-E203)/E203</f>
        <v>8.5341024770953539E-2</v>
      </c>
      <c r="G203" s="40"/>
      <c r="H203" s="16"/>
      <c r="I203" s="16"/>
      <c r="J203" s="9"/>
      <c r="K203" s="9">
        <f t="shared" si="12"/>
        <v>0</v>
      </c>
      <c r="L203" s="16"/>
    </row>
    <row r="204" spans="1:12">
      <c r="A204" s="1" t="s">
        <v>3936</v>
      </c>
      <c r="B204" s="7">
        <v>30</v>
      </c>
      <c r="C204" s="7">
        <v>68.42</v>
      </c>
      <c r="D204" s="16">
        <f>(C204-B204)/B204</f>
        <v>1.2806666666666666</v>
      </c>
      <c r="E204" s="9">
        <v>58.94</v>
      </c>
      <c r="F204" s="16">
        <f>(C204-E204)/E204</f>
        <v>0.16084153376314902</v>
      </c>
      <c r="G204" s="40"/>
      <c r="H204" s="16"/>
      <c r="I204" s="16"/>
      <c r="J204" s="9"/>
      <c r="K204" s="9">
        <f t="shared" si="12"/>
        <v>0</v>
      </c>
      <c r="L204" s="16"/>
    </row>
    <row r="205" spans="1:12">
      <c r="A205" s="1"/>
      <c r="B205" s="1"/>
      <c r="C205" s="7"/>
      <c r="D205" s="16"/>
      <c r="E205" s="9"/>
      <c r="F205" s="16"/>
      <c r="G205" s="40"/>
      <c r="H205" s="16"/>
      <c r="I205" s="16"/>
      <c r="J205" s="9"/>
      <c r="K205" s="9">
        <f t="shared" si="12"/>
        <v>0</v>
      </c>
      <c r="L205" s="16"/>
    </row>
    <row r="206" spans="1:12">
      <c r="A206" s="2" t="s">
        <v>3644</v>
      </c>
      <c r="B206" s="5" t="s">
        <v>3534</v>
      </c>
      <c r="C206" s="31" t="s">
        <v>3487</v>
      </c>
      <c r="D206" s="43"/>
      <c r="E206" s="44"/>
      <c r="F206" s="43"/>
      <c r="G206" s="23" t="s">
        <v>3984</v>
      </c>
      <c r="H206" s="43"/>
      <c r="I206" s="43">
        <f>AVERAGE(F207:F209)</f>
        <v>-3.5870864886408866E-3</v>
      </c>
      <c r="J206" s="44"/>
      <c r="K206" s="9">
        <f t="shared" si="12"/>
        <v>0</v>
      </c>
      <c r="L206" s="43"/>
    </row>
    <row r="207" spans="1:12">
      <c r="A207" s="1" t="s">
        <v>3645</v>
      </c>
      <c r="B207" s="7">
        <v>52.3</v>
      </c>
      <c r="C207" s="7">
        <v>25</v>
      </c>
      <c r="D207" s="16">
        <f>(C207-B207)/B207</f>
        <v>-0.52198852772466542</v>
      </c>
      <c r="E207" s="9">
        <v>25.09</v>
      </c>
      <c r="F207" s="16">
        <f>(C207-E207)/E207</f>
        <v>-3.587086488640887E-3</v>
      </c>
      <c r="G207" s="40"/>
      <c r="H207" s="16"/>
      <c r="I207" s="16"/>
      <c r="J207" s="9"/>
      <c r="K207" s="9">
        <f t="shared" si="12"/>
        <v>0</v>
      </c>
      <c r="L207" s="16"/>
    </row>
    <row r="208" spans="1:12">
      <c r="A208" s="1" t="s">
        <v>3646</v>
      </c>
      <c r="B208" s="7">
        <v>55.05</v>
      </c>
      <c r="C208" s="7">
        <v>25</v>
      </c>
      <c r="D208" s="16">
        <f>(C208-B208)/B208</f>
        <v>-0.54586739327883738</v>
      </c>
      <c r="E208" s="9">
        <v>25.09</v>
      </c>
      <c r="F208" s="16">
        <f>(C208-E208)/E208</f>
        <v>-3.587086488640887E-3</v>
      </c>
      <c r="G208" s="40"/>
      <c r="H208" s="16"/>
      <c r="I208" s="16"/>
      <c r="J208" s="9"/>
      <c r="K208" s="9">
        <f t="shared" si="12"/>
        <v>0</v>
      </c>
      <c r="L208" s="16"/>
    </row>
    <row r="209" spans="1:12">
      <c r="A209" s="1" t="s">
        <v>3647</v>
      </c>
      <c r="B209" s="7">
        <v>57.3</v>
      </c>
      <c r="C209" s="7">
        <v>25</v>
      </c>
      <c r="D209" s="16">
        <f>(C209-B209)/B209</f>
        <v>-0.56369982547993014</v>
      </c>
      <c r="E209" s="9">
        <v>25.09</v>
      </c>
      <c r="F209" s="16">
        <f>(C209-E209)/E209</f>
        <v>-3.587086488640887E-3</v>
      </c>
      <c r="G209" s="40"/>
      <c r="H209" s="16"/>
      <c r="I209" s="16"/>
      <c r="J209" s="9"/>
      <c r="K209" s="9">
        <f t="shared" si="12"/>
        <v>0</v>
      </c>
      <c r="L209" s="16"/>
    </row>
    <row r="210" spans="1:12">
      <c r="A210" s="143"/>
      <c r="B210" s="143"/>
      <c r="C210" s="7"/>
      <c r="D210" s="16"/>
      <c r="E210" s="9"/>
      <c r="F210" s="16"/>
      <c r="G210" s="40"/>
      <c r="H210" s="16"/>
      <c r="I210" s="16"/>
      <c r="J210" s="9"/>
      <c r="K210" s="9">
        <f t="shared" si="12"/>
        <v>0</v>
      </c>
      <c r="L210" s="16"/>
    </row>
    <row r="211" spans="1:12">
      <c r="A211" s="2" t="s">
        <v>3648</v>
      </c>
      <c r="B211" s="1"/>
      <c r="C211" s="31" t="s">
        <v>3487</v>
      </c>
      <c r="D211" s="43"/>
      <c r="E211" s="44"/>
      <c r="F211" s="43"/>
      <c r="G211" s="23" t="s">
        <v>3984</v>
      </c>
      <c r="H211" s="43"/>
      <c r="I211" s="43">
        <f>AVERAGE(F212)</f>
        <v>0.17274815003827515</v>
      </c>
      <c r="J211" s="44"/>
      <c r="K211" s="9">
        <f t="shared" si="12"/>
        <v>0</v>
      </c>
      <c r="L211" s="43"/>
    </row>
    <row r="212" spans="1:12">
      <c r="A212" s="1" t="s">
        <v>3650</v>
      </c>
      <c r="B212" s="7">
        <v>46.85</v>
      </c>
      <c r="C212" s="7">
        <v>45.96</v>
      </c>
      <c r="D212" s="16">
        <f>(C212-B212)/B212</f>
        <v>-1.8996798292422637E-2</v>
      </c>
      <c r="E212" s="9">
        <v>39.19</v>
      </c>
      <c r="F212" s="16">
        <f>(C212-E212)/E212</f>
        <v>0.17274815003827515</v>
      </c>
      <c r="G212" s="40"/>
      <c r="H212" s="16"/>
      <c r="I212" s="16"/>
      <c r="J212" s="9">
        <v>25.24</v>
      </c>
      <c r="K212" s="9">
        <f t="shared" si="12"/>
        <v>35.335999999999999</v>
      </c>
      <c r="L212" s="16">
        <f>(C212-K212)/K212</f>
        <v>0.3006565542223229</v>
      </c>
    </row>
    <row r="213" spans="1:12">
      <c r="A213" s="1"/>
      <c r="B213" s="1"/>
      <c r="C213" s="7"/>
      <c r="D213" s="16"/>
      <c r="E213" s="9"/>
      <c r="F213" s="16"/>
      <c r="G213" s="40"/>
      <c r="H213" s="16"/>
      <c r="I213" s="16"/>
      <c r="J213" s="9"/>
      <c r="K213" s="9">
        <f t="shared" si="12"/>
        <v>0</v>
      </c>
      <c r="L213" s="16"/>
    </row>
    <row r="214" spans="1:12">
      <c r="A214" s="2" t="s">
        <v>3651</v>
      </c>
      <c r="B214" s="1"/>
      <c r="C214" s="31" t="s">
        <v>3487</v>
      </c>
      <c r="D214" s="43"/>
      <c r="E214" s="44"/>
      <c r="F214" s="43"/>
      <c r="G214" s="23" t="s">
        <v>3983</v>
      </c>
      <c r="H214" s="43">
        <f>AVERAGE(F215)</f>
        <v>0.30133928571428559</v>
      </c>
      <c r="I214" s="43"/>
      <c r="J214" s="44"/>
      <c r="K214" s="9">
        <f t="shared" si="12"/>
        <v>0</v>
      </c>
      <c r="L214" s="43"/>
    </row>
    <row r="215" spans="1:12">
      <c r="A215" s="1" t="s">
        <v>3652</v>
      </c>
      <c r="B215" s="7">
        <v>35.49</v>
      </c>
      <c r="C215" s="7">
        <v>46.64</v>
      </c>
      <c r="D215" s="16">
        <f>(C215-B215)/B215</f>
        <v>0.31417300648069874</v>
      </c>
      <c r="E215" s="9">
        <v>35.840000000000003</v>
      </c>
      <c r="F215" s="16">
        <f>(C215-E215)/E215</f>
        <v>0.30133928571428559</v>
      </c>
      <c r="G215" s="40"/>
      <c r="H215" s="16"/>
      <c r="I215" s="16"/>
      <c r="J215" s="9"/>
      <c r="K215" s="9">
        <f t="shared" si="12"/>
        <v>0</v>
      </c>
      <c r="L215" s="16"/>
    </row>
    <row r="216" spans="1:12">
      <c r="A216" s="143"/>
      <c r="B216" s="143"/>
      <c r="C216" s="7"/>
      <c r="D216" s="16"/>
      <c r="E216" s="9"/>
      <c r="F216" s="16"/>
      <c r="G216" s="40"/>
      <c r="H216" s="16"/>
      <c r="I216" s="16"/>
      <c r="J216" s="9"/>
      <c r="K216" s="9">
        <f t="shared" si="12"/>
        <v>0</v>
      </c>
      <c r="L216" s="16"/>
    </row>
    <row r="217" spans="1:12" ht="25.5">
      <c r="A217" s="2" t="s">
        <v>3883</v>
      </c>
      <c r="B217" s="1"/>
      <c r="C217" s="31" t="s">
        <v>3981</v>
      </c>
      <c r="D217" s="43"/>
      <c r="E217" s="44"/>
      <c r="F217" s="43"/>
      <c r="G217" s="23" t="s">
        <v>3983</v>
      </c>
      <c r="H217" s="43">
        <f>AVERAGE(F218:F219)</f>
        <v>-4.9182565385957125E-2</v>
      </c>
      <c r="I217" s="43"/>
      <c r="J217" s="44"/>
      <c r="K217" s="9">
        <f t="shared" si="12"/>
        <v>0</v>
      </c>
      <c r="L217" s="43"/>
    </row>
    <row r="218" spans="1:12" ht="25.5">
      <c r="A218" s="1" t="s">
        <v>3884</v>
      </c>
      <c r="B218" s="7">
        <v>32.479999999999997</v>
      </c>
      <c r="C218" s="7">
        <v>34.630000000000003</v>
      </c>
      <c r="D218" s="16">
        <f>(C218-B218)/B218</f>
        <v>6.6194581280788353E-2</v>
      </c>
      <c r="E218" s="9">
        <v>36.35</v>
      </c>
      <c r="F218" s="16">
        <f>(C218-E218)/E218</f>
        <v>-4.7317744154057741E-2</v>
      </c>
      <c r="G218" s="40"/>
      <c r="H218" s="16"/>
      <c r="I218" s="16"/>
      <c r="J218" s="9"/>
      <c r="K218" s="9">
        <f t="shared" si="12"/>
        <v>0</v>
      </c>
      <c r="L218" s="16"/>
    </row>
    <row r="219" spans="1:12">
      <c r="A219" s="1" t="s">
        <v>3885</v>
      </c>
      <c r="B219" s="7">
        <v>43.61</v>
      </c>
      <c r="C219" s="7">
        <v>46.66</v>
      </c>
      <c r="D219" s="16">
        <f>(C219-B219)/B219</f>
        <v>6.9938087594588333E-2</v>
      </c>
      <c r="E219" s="9">
        <v>49.17</v>
      </c>
      <c r="F219" s="16">
        <f>(C219-E219)/E219</f>
        <v>-5.1047386617856516E-2</v>
      </c>
      <c r="G219" s="40"/>
      <c r="H219" s="16"/>
      <c r="I219" s="16"/>
      <c r="J219" s="9"/>
      <c r="K219" s="9">
        <f t="shared" si="12"/>
        <v>0</v>
      </c>
      <c r="L219" s="16"/>
    </row>
    <row r="220" spans="1:12">
      <c r="A220" s="1" t="s">
        <v>3886</v>
      </c>
      <c r="B220" s="7">
        <v>46.04</v>
      </c>
      <c r="C220" s="7">
        <v>49.29</v>
      </c>
      <c r="D220" s="16">
        <f>(C220-B220)/B220</f>
        <v>7.0590790616854915E-2</v>
      </c>
      <c r="E220" s="9">
        <v>49.17</v>
      </c>
      <c r="F220" s="16">
        <f>(C220-E220)/E220</f>
        <v>2.4405125076265495E-3</v>
      </c>
      <c r="G220" s="23" t="s">
        <v>3983</v>
      </c>
      <c r="H220" s="16">
        <f>AVERAGE(F220)</f>
        <v>2.4405125076265495E-3</v>
      </c>
      <c r="I220" s="16"/>
      <c r="J220" s="9"/>
      <c r="K220" s="9">
        <f t="shared" si="12"/>
        <v>0</v>
      </c>
      <c r="L220" s="16"/>
    </row>
    <row r="221" spans="1:12">
      <c r="A221" s="1"/>
      <c r="B221" s="1"/>
      <c r="C221" s="7"/>
      <c r="D221" s="16"/>
      <c r="E221" s="9"/>
      <c r="F221" s="16"/>
      <c r="G221" s="40"/>
      <c r="H221" s="16"/>
      <c r="I221" s="16"/>
      <c r="J221" s="9"/>
      <c r="K221" s="9">
        <f t="shared" si="12"/>
        <v>0</v>
      </c>
      <c r="L221" s="16"/>
    </row>
    <row r="222" spans="1:12">
      <c r="A222" s="1"/>
      <c r="B222" s="1"/>
      <c r="C222" s="7"/>
      <c r="D222" s="16"/>
      <c r="E222" s="9"/>
      <c r="F222" s="16"/>
      <c r="G222" s="40"/>
      <c r="H222" s="16"/>
      <c r="I222" s="16"/>
      <c r="J222" s="9"/>
      <c r="K222" s="9">
        <f t="shared" si="12"/>
        <v>0</v>
      </c>
      <c r="L222" s="16"/>
    </row>
    <row r="223" spans="1:12" ht="51">
      <c r="A223" s="2" t="s">
        <v>3662</v>
      </c>
      <c r="B223" s="3" t="s">
        <v>3547</v>
      </c>
      <c r="C223" s="12" t="s">
        <v>3547</v>
      </c>
      <c r="D223" s="16"/>
      <c r="E223" s="9"/>
      <c r="F223" s="16"/>
      <c r="G223" s="40"/>
      <c r="H223" s="16"/>
      <c r="I223" s="16"/>
      <c r="J223" s="9"/>
      <c r="K223" s="9">
        <f t="shared" si="12"/>
        <v>0</v>
      </c>
      <c r="L223" s="16"/>
    </row>
    <row r="224" spans="1:12">
      <c r="A224" s="1" t="s">
        <v>3663</v>
      </c>
      <c r="B224" s="7">
        <v>30.82</v>
      </c>
      <c r="C224" s="7">
        <v>30.82</v>
      </c>
      <c r="D224" s="16">
        <f>(C224-B224)/B224</f>
        <v>0</v>
      </c>
      <c r="E224" s="9"/>
      <c r="F224" s="16"/>
      <c r="G224" s="40"/>
      <c r="H224" s="16"/>
      <c r="I224" s="16"/>
      <c r="J224" s="9"/>
      <c r="K224" s="9">
        <f t="shared" si="12"/>
        <v>0</v>
      </c>
      <c r="L224" s="16"/>
    </row>
    <row r="225" spans="1:12">
      <c r="A225" s="143"/>
      <c r="B225" s="143"/>
      <c r="C225" s="7"/>
      <c r="D225" s="16"/>
      <c r="E225" s="9"/>
      <c r="F225" s="16"/>
      <c r="G225" s="40"/>
      <c r="H225" s="16"/>
      <c r="I225" s="16"/>
      <c r="J225" s="9"/>
      <c r="K225" s="9">
        <f t="shared" si="12"/>
        <v>0</v>
      </c>
      <c r="L225" s="16"/>
    </row>
    <row r="226" spans="1:12" ht="38.25">
      <c r="A226" s="2" t="s">
        <v>3664</v>
      </c>
      <c r="B226" s="1"/>
      <c r="C226" s="12" t="s">
        <v>3510</v>
      </c>
      <c r="D226" s="43"/>
      <c r="E226" s="44"/>
      <c r="F226" s="43"/>
      <c r="G226" s="23" t="s">
        <v>3983</v>
      </c>
      <c r="H226" s="43">
        <f>AVERAGE(F228:F234)</f>
        <v>0</v>
      </c>
      <c r="I226" s="43"/>
      <c r="J226" s="44"/>
      <c r="K226" s="9">
        <f t="shared" si="12"/>
        <v>0</v>
      </c>
      <c r="L226" s="43"/>
    </row>
    <row r="227" spans="1:12">
      <c r="A227" s="3" t="s">
        <v>3569</v>
      </c>
      <c r="B227" s="1"/>
      <c r="C227" s="7"/>
      <c r="D227" s="16"/>
      <c r="E227" s="9"/>
      <c r="F227" s="16"/>
      <c r="G227" s="40"/>
      <c r="H227" s="16"/>
      <c r="I227" s="16"/>
      <c r="J227" s="9"/>
      <c r="K227" s="9">
        <f t="shared" si="12"/>
        <v>0</v>
      </c>
      <c r="L227" s="16"/>
    </row>
    <row r="228" spans="1:12">
      <c r="A228" s="1" t="s">
        <v>3573</v>
      </c>
      <c r="B228" s="7">
        <v>46.13</v>
      </c>
      <c r="C228" s="7">
        <v>36.9</v>
      </c>
      <c r="D228" s="16">
        <f t="shared" ref="D228:D234" si="14">(C228-B228)/B228</f>
        <v>-0.20008671146759166</v>
      </c>
      <c r="E228" s="9">
        <v>36.9</v>
      </c>
      <c r="F228" s="16">
        <f t="shared" ref="F228:F234" si="15">(C228-E228)/E228</f>
        <v>0</v>
      </c>
      <c r="G228" s="40"/>
      <c r="H228" s="16"/>
      <c r="I228" s="16"/>
      <c r="J228" s="9"/>
      <c r="K228" s="9">
        <f t="shared" si="12"/>
        <v>0</v>
      </c>
      <c r="L228" s="16"/>
    </row>
    <row r="229" spans="1:12">
      <c r="A229" s="1" t="s">
        <v>3575</v>
      </c>
      <c r="B229" s="7">
        <v>46.23</v>
      </c>
      <c r="C229" s="7">
        <v>36.9</v>
      </c>
      <c r="D229" s="16">
        <f t="shared" si="14"/>
        <v>-0.20181700194678778</v>
      </c>
      <c r="E229" s="9">
        <v>36.9</v>
      </c>
      <c r="F229" s="16">
        <f t="shared" si="15"/>
        <v>0</v>
      </c>
      <c r="G229" s="40"/>
      <c r="H229" s="16"/>
      <c r="I229" s="16"/>
      <c r="J229" s="9"/>
      <c r="K229" s="9">
        <f t="shared" si="12"/>
        <v>0</v>
      </c>
      <c r="L229" s="16"/>
    </row>
    <row r="230" spans="1:12">
      <c r="A230" s="1" t="s">
        <v>3576</v>
      </c>
      <c r="B230" s="7">
        <v>46.44</v>
      </c>
      <c r="C230" s="7">
        <v>36.9</v>
      </c>
      <c r="D230" s="16">
        <f t="shared" si="14"/>
        <v>-0.20542635658914729</v>
      </c>
      <c r="E230" s="9">
        <v>36.9</v>
      </c>
      <c r="F230" s="16">
        <f t="shared" si="15"/>
        <v>0</v>
      </c>
      <c r="G230" s="40"/>
      <c r="H230" s="16"/>
      <c r="I230" s="16"/>
      <c r="J230" s="9"/>
      <c r="K230" s="9">
        <f t="shared" si="12"/>
        <v>0</v>
      </c>
      <c r="L230" s="16"/>
    </row>
    <row r="231" spans="1:12">
      <c r="A231" s="1" t="s">
        <v>3577</v>
      </c>
      <c r="B231" s="7">
        <v>46.62</v>
      </c>
      <c r="C231" s="7">
        <v>36.9</v>
      </c>
      <c r="D231" s="16">
        <f t="shared" si="14"/>
        <v>-0.20849420849420849</v>
      </c>
      <c r="E231" s="9">
        <v>36.9</v>
      </c>
      <c r="F231" s="16">
        <f t="shared" si="15"/>
        <v>0</v>
      </c>
      <c r="G231" s="40"/>
      <c r="H231" s="16"/>
      <c r="I231" s="16"/>
      <c r="J231" s="9"/>
      <c r="K231" s="9">
        <f t="shared" si="12"/>
        <v>0</v>
      </c>
      <c r="L231" s="16"/>
    </row>
    <row r="232" spans="1:12">
      <c r="A232" s="1" t="s">
        <v>3579</v>
      </c>
      <c r="B232" s="7">
        <v>46.82</v>
      </c>
      <c r="C232" s="7">
        <v>36.9</v>
      </c>
      <c r="D232" s="16">
        <f t="shared" si="14"/>
        <v>-0.21187526697992315</v>
      </c>
      <c r="E232" s="9">
        <v>36.9</v>
      </c>
      <c r="F232" s="16">
        <f t="shared" si="15"/>
        <v>0</v>
      </c>
      <c r="G232" s="40"/>
      <c r="H232" s="16"/>
      <c r="I232" s="16"/>
      <c r="J232" s="9"/>
      <c r="K232" s="9">
        <f t="shared" si="12"/>
        <v>0</v>
      </c>
      <c r="L232" s="16"/>
    </row>
    <row r="233" spans="1:12">
      <c r="A233" s="1" t="s">
        <v>3580</v>
      </c>
      <c r="B233" s="7">
        <v>47.12</v>
      </c>
      <c r="C233" s="7">
        <v>36.9</v>
      </c>
      <c r="D233" s="16">
        <f t="shared" si="14"/>
        <v>-0.21689303904923599</v>
      </c>
      <c r="E233" s="9">
        <v>36.9</v>
      </c>
      <c r="F233" s="16">
        <f t="shared" si="15"/>
        <v>0</v>
      </c>
      <c r="G233" s="40"/>
      <c r="H233" s="16"/>
      <c r="I233" s="16"/>
      <c r="J233" s="9"/>
      <c r="K233" s="9">
        <f t="shared" si="12"/>
        <v>0</v>
      </c>
      <c r="L233" s="16"/>
    </row>
    <row r="234" spans="1:12" ht="25.5">
      <c r="A234" s="1" t="s">
        <v>3888</v>
      </c>
      <c r="B234" s="7">
        <v>48.12</v>
      </c>
      <c r="C234" s="7">
        <v>36.9</v>
      </c>
      <c r="D234" s="16">
        <f t="shared" si="14"/>
        <v>-0.23316708229426433</v>
      </c>
      <c r="E234" s="9">
        <v>36.9</v>
      </c>
      <c r="F234" s="16">
        <f t="shared" si="15"/>
        <v>0</v>
      </c>
      <c r="G234" s="40"/>
      <c r="H234" s="16"/>
      <c r="I234" s="16"/>
      <c r="J234" s="9"/>
      <c r="K234" s="9">
        <f t="shared" si="12"/>
        <v>0</v>
      </c>
      <c r="L234" s="16"/>
    </row>
    <row r="235" spans="1:12">
      <c r="A235" s="1"/>
      <c r="B235" s="1"/>
      <c r="C235" s="7"/>
      <c r="D235" s="16"/>
      <c r="E235" s="9"/>
      <c r="F235" s="16"/>
      <c r="G235" s="40"/>
      <c r="H235" s="16"/>
      <c r="I235" s="16"/>
      <c r="J235" s="9"/>
      <c r="K235" s="9">
        <f t="shared" si="12"/>
        <v>0</v>
      </c>
      <c r="L235" s="16"/>
    </row>
    <row r="236" spans="1:12" ht="38.25">
      <c r="A236" s="2" t="s">
        <v>3666</v>
      </c>
      <c r="B236" s="1"/>
      <c r="C236" s="31" t="s">
        <v>3492</v>
      </c>
      <c r="D236" s="43"/>
      <c r="E236" s="44"/>
      <c r="F236" s="43"/>
      <c r="G236" s="23" t="s">
        <v>3984</v>
      </c>
      <c r="H236" s="43"/>
      <c r="I236" s="43">
        <f>AVERAGE(F237)</f>
        <v>0</v>
      </c>
      <c r="J236" s="44"/>
      <c r="K236" s="9">
        <f t="shared" ref="K236:K246" si="16">J236*1.4</f>
        <v>0</v>
      </c>
      <c r="L236" s="43"/>
    </row>
    <row r="237" spans="1:12">
      <c r="A237" s="1" t="s">
        <v>3667</v>
      </c>
      <c r="B237" s="7">
        <v>31.91</v>
      </c>
      <c r="C237" s="7">
        <v>19.420000000000002</v>
      </c>
      <c r="D237" s="16">
        <f>(C237-B237)/B237</f>
        <v>-0.39141335004700717</v>
      </c>
      <c r="E237" s="9">
        <v>19.420000000000002</v>
      </c>
      <c r="F237" s="16">
        <f>(C237-E237)/E237</f>
        <v>0</v>
      </c>
      <c r="G237" s="40"/>
      <c r="H237" s="16"/>
      <c r="I237" s="16"/>
      <c r="J237" s="9"/>
      <c r="K237" s="9">
        <f t="shared" si="16"/>
        <v>0</v>
      </c>
      <c r="L237" s="16"/>
    </row>
    <row r="238" spans="1:12">
      <c r="A238" s="1"/>
      <c r="B238" s="1"/>
      <c r="C238" s="7"/>
      <c r="D238" s="16"/>
      <c r="E238" s="9"/>
      <c r="F238" s="16"/>
      <c r="G238" s="40"/>
      <c r="H238" s="16"/>
      <c r="I238" s="16"/>
      <c r="J238" s="9"/>
      <c r="K238" s="9">
        <f t="shared" si="16"/>
        <v>0</v>
      </c>
      <c r="L238" s="16"/>
    </row>
    <row r="239" spans="1:12" ht="63.75">
      <c r="A239" s="2" t="s">
        <v>3668</v>
      </c>
      <c r="B239" s="3" t="s">
        <v>3649</v>
      </c>
      <c r="C239" s="12" t="s">
        <v>3649</v>
      </c>
      <c r="D239" s="43"/>
      <c r="E239" s="44"/>
      <c r="F239" s="43"/>
      <c r="G239" s="23" t="s">
        <v>3983</v>
      </c>
      <c r="H239" s="43">
        <f>AVERAGE(F240)</f>
        <v>2.1562766865926515E-2</v>
      </c>
      <c r="I239" s="43"/>
      <c r="J239" s="44"/>
      <c r="K239" s="9">
        <f t="shared" si="16"/>
        <v>0</v>
      </c>
      <c r="L239" s="43"/>
    </row>
    <row r="240" spans="1:12" ht="25.5">
      <c r="A240" s="1" t="s">
        <v>3670</v>
      </c>
      <c r="B240" s="7">
        <v>46.1</v>
      </c>
      <c r="C240" s="7">
        <v>47.85</v>
      </c>
      <c r="D240" s="16">
        <f>(C240-B240)/B240</f>
        <v>3.7960954446854663E-2</v>
      </c>
      <c r="E240" s="9">
        <v>46.84</v>
      </c>
      <c r="F240" s="16">
        <f>(C240-E240)/E240</f>
        <v>2.1562766865926515E-2</v>
      </c>
      <c r="G240" s="40"/>
      <c r="H240" s="16"/>
      <c r="I240" s="16"/>
      <c r="J240" s="9"/>
      <c r="K240" s="9">
        <f t="shared" si="16"/>
        <v>0</v>
      </c>
      <c r="L240" s="16"/>
    </row>
    <row r="241" spans="1:12">
      <c r="A241" s="1"/>
      <c r="B241" s="1"/>
      <c r="C241" s="7"/>
      <c r="D241" s="16"/>
      <c r="E241" s="9"/>
      <c r="F241" s="16"/>
      <c r="G241" s="40"/>
      <c r="H241" s="16"/>
      <c r="I241" s="16"/>
      <c r="J241" s="9"/>
      <c r="K241" s="9">
        <f t="shared" si="16"/>
        <v>0</v>
      </c>
      <c r="L241" s="16"/>
    </row>
    <row r="242" spans="1:12">
      <c r="A242" s="2" t="s">
        <v>3671</v>
      </c>
      <c r="B242" s="1"/>
      <c r="C242" s="31" t="s">
        <v>3487</v>
      </c>
      <c r="D242" s="43"/>
      <c r="E242" s="44"/>
      <c r="F242" s="43"/>
      <c r="G242" s="23" t="s">
        <v>3983</v>
      </c>
      <c r="H242" s="43">
        <f>AVERAGE(F243:F246)</f>
        <v>-2.9934847684451788E-3</v>
      </c>
      <c r="I242" s="43"/>
      <c r="J242" s="44"/>
      <c r="K242" s="9">
        <f t="shared" si="16"/>
        <v>0</v>
      </c>
      <c r="L242" s="43"/>
    </row>
    <row r="243" spans="1:12">
      <c r="A243" s="1" t="s">
        <v>3672</v>
      </c>
      <c r="B243" s="7">
        <v>45.65</v>
      </c>
      <c r="C243" s="7">
        <v>56.62</v>
      </c>
      <c r="D243" s="16">
        <f>(C243-B243)/B243</f>
        <v>0.24030668127053667</v>
      </c>
      <c r="E243" s="9">
        <v>56.79</v>
      </c>
      <c r="F243" s="16">
        <f>(C243-E243)/E243</f>
        <v>-2.9934847684451788E-3</v>
      </c>
      <c r="G243" s="40"/>
      <c r="H243" s="16"/>
      <c r="I243" s="16"/>
      <c r="J243" s="9"/>
      <c r="K243" s="9">
        <f t="shared" si="16"/>
        <v>0</v>
      </c>
      <c r="L243" s="16"/>
    </row>
    <row r="244" spans="1:12">
      <c r="A244" s="1"/>
      <c r="B244" s="1"/>
      <c r="C244" s="7"/>
      <c r="D244" s="16"/>
      <c r="E244" s="9"/>
      <c r="F244" s="16"/>
      <c r="G244" s="40"/>
      <c r="H244" s="16"/>
      <c r="I244" s="16"/>
      <c r="J244" s="9"/>
      <c r="K244" s="9">
        <f t="shared" si="16"/>
        <v>0</v>
      </c>
      <c r="L244" s="16"/>
    </row>
    <row r="245" spans="1:12">
      <c r="A245" s="2" t="s">
        <v>3673</v>
      </c>
      <c r="B245" s="1"/>
      <c r="C245" s="31" t="s">
        <v>3487</v>
      </c>
      <c r="D245" s="16"/>
      <c r="E245" s="9"/>
      <c r="F245" s="16"/>
      <c r="G245" s="40"/>
      <c r="H245" s="16"/>
      <c r="I245" s="16"/>
      <c r="J245" s="9"/>
      <c r="K245" s="9">
        <f t="shared" si="16"/>
        <v>0</v>
      </c>
      <c r="L245" s="16"/>
    </row>
    <row r="246" spans="1:12">
      <c r="A246" s="1" t="s">
        <v>3674</v>
      </c>
      <c r="B246" s="7">
        <v>45.65</v>
      </c>
      <c r="C246" s="7">
        <v>56.62</v>
      </c>
      <c r="D246" s="16">
        <f>(C246-B246)/B246</f>
        <v>0.24030668127053667</v>
      </c>
      <c r="E246" s="9">
        <v>56.79</v>
      </c>
      <c r="F246" s="16">
        <f>(C246-E246)/E246</f>
        <v>-2.9934847684451788E-3</v>
      </c>
      <c r="G246" s="40"/>
      <c r="H246" s="16"/>
      <c r="I246" s="16"/>
      <c r="J246" s="9"/>
      <c r="K246" s="9">
        <f t="shared" si="16"/>
        <v>0</v>
      </c>
      <c r="L246" s="16"/>
    </row>
    <row r="248" spans="1:12">
      <c r="A248" s="8" t="s">
        <v>3988</v>
      </c>
      <c r="B248" s="7"/>
      <c r="C248" s="9"/>
      <c r="D248" s="16"/>
      <c r="E248" s="40"/>
      <c r="G248" s="40"/>
    </row>
    <row r="249" spans="1:12">
      <c r="A249" s="1" t="s">
        <v>3986</v>
      </c>
      <c r="B249" s="7"/>
      <c r="C249" s="9"/>
      <c r="D249" s="16"/>
      <c r="G249" s="40">
        <f>COUNTIF(G4:G246,"Y")</f>
        <v>28</v>
      </c>
    </row>
    <row r="250" spans="1:12">
      <c r="A250" s="1" t="s">
        <v>3987</v>
      </c>
      <c r="B250" s="7"/>
      <c r="C250" s="9"/>
      <c r="D250" s="16"/>
      <c r="G250" s="41">
        <f>COUNTIF(G5:G247,"N")</f>
        <v>10</v>
      </c>
    </row>
    <row r="251" spans="1:12">
      <c r="A251" s="8" t="s">
        <v>3985</v>
      </c>
      <c r="C251" s="9"/>
      <c r="D251" s="16"/>
      <c r="G251" s="23">
        <f>SUM(G249:G250)</f>
        <v>38</v>
      </c>
    </row>
  </sheetData>
  <mergeCells count="21">
    <mergeCell ref="A216:B216"/>
    <mergeCell ref="A225:B225"/>
    <mergeCell ref="A165:B165"/>
    <mergeCell ref="A174:B174"/>
    <mergeCell ref="A184:B184"/>
    <mergeCell ref="A210:B210"/>
    <mergeCell ref="C79:C80"/>
    <mergeCell ref="C128:C129"/>
    <mergeCell ref="C145:C146"/>
    <mergeCell ref="A100:B100"/>
    <mergeCell ref="A164:B164"/>
    <mergeCell ref="A95:B95"/>
    <mergeCell ref="A106:B106"/>
    <mergeCell ref="A127:B127"/>
    <mergeCell ref="B128:B129"/>
    <mergeCell ref="B145:B146"/>
    <mergeCell ref="A27:B27"/>
    <mergeCell ref="A64:B64"/>
    <mergeCell ref="A68:B68"/>
    <mergeCell ref="A78:B78"/>
    <mergeCell ref="B79:B80"/>
  </mergeCells>
  <phoneticPr fontId="2" type="noConversion"/>
  <hyperlinks>
    <hyperlink ref="A1" r:id="rId1" display="http://www.laborcommissioner.com/10rates/whitepin.html"/>
    <hyperlink ref="B17" location="brick zone" display="brick zone"/>
    <hyperlink ref="B20" location="carp zone" display="carp zone"/>
    <hyperlink ref="B52" location="Hod Brick Zone" display="Hod Brick Zone"/>
    <hyperlink ref="B62" location="Hod Brick Zone" display="Hod Brick Zone"/>
    <hyperlink ref="B69" location="Hod Brick Zone" display="Hod Brick Zone"/>
    <hyperlink ref="B74" r:id="rId2" display="http://www.laborcommissioner.com/10rates/2010 Amendments/2010Amendment1.htm"/>
    <hyperlink ref="B79" location="Hod Brick Zone" display="Hod Brick Zone"/>
    <hyperlink ref="A80" location="LABORER GROUP" display="LABORER GROUP"/>
    <hyperlink ref="B96" r:id="rId3" display="http://www.laborcommissioner.com/10rates/2010 Amendments/2010Amendment2.htm"/>
    <hyperlink ref="A108" location="OP GROUPS" display="OP GROUPS"/>
    <hyperlink ref="A129" location="OP GROUP  STEEL" display="OP GROUP  STEEL"/>
    <hyperlink ref="B128" location="OP ZONE" display="OP ZONE"/>
    <hyperlink ref="A146" location="OP GROUP PILEDRIVER" display="OP GROUP PILEDRIVER"/>
    <hyperlink ref="B145" location="OP ZONE" display="OP ZONE"/>
    <hyperlink ref="B223" location="Hod Brick Zone" display="Hod Brick Zone"/>
    <hyperlink ref="A227" location="Truck Driver 08" display="Truck Driver 08"/>
    <hyperlink ref="B239" location="OP ZONE" display="OP ZONE"/>
    <hyperlink ref="C20" location="carp zone" display="carp zone"/>
    <hyperlink ref="C62" location="Hod Brick Zone" display="Hod Brick Zone"/>
    <hyperlink ref="C79" location="Hod Brick Zone" display="Hod Brick Zone"/>
    <hyperlink ref="C128" location="OP ZONE" display="OP ZONE"/>
    <hyperlink ref="C145" location="OP ZONE" display="OP ZONE"/>
    <hyperlink ref="C223" location="Hod Brick Zone" display="Hod Brick Zone"/>
    <hyperlink ref="C226" location="Truck Zone" display="Truck Zone"/>
    <hyperlink ref="C239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951"/>
  <sheetViews>
    <sheetView workbookViewId="0">
      <selection activeCell="B67" sqref="B67"/>
    </sheetView>
  </sheetViews>
  <sheetFormatPr defaultRowHeight="12.75"/>
  <cols>
    <col min="1" max="1" width="16.28515625" customWidth="1"/>
    <col min="2" max="2" width="21.42578125" customWidth="1"/>
    <col min="3" max="3" width="26.28515625" customWidth="1"/>
    <col min="4" max="4" width="63.28515625" customWidth="1"/>
    <col min="5" max="5" width="31.140625" customWidth="1"/>
  </cols>
  <sheetData>
    <row r="1" spans="1:12">
      <c r="A1" s="8" t="s">
        <v>2499</v>
      </c>
      <c r="B1" s="8"/>
      <c r="C1" s="106">
        <f>E463</f>
        <v>3279010673.6800013</v>
      </c>
    </row>
    <row r="2" spans="1:12">
      <c r="A2" s="8" t="s">
        <v>2500</v>
      </c>
      <c r="B2" s="8"/>
      <c r="C2" s="106">
        <f>E909</f>
        <v>1405458641.9200006</v>
      </c>
    </row>
    <row r="3" spans="1:12">
      <c r="A3" s="8" t="s">
        <v>2501</v>
      </c>
      <c r="B3" s="8"/>
      <c r="C3" s="106">
        <f>E951</f>
        <v>137696966</v>
      </c>
      <c r="D3" s="105" t="s">
        <v>2502</v>
      </c>
      <c r="F3" s="105" t="s">
        <v>2502</v>
      </c>
    </row>
    <row r="4" spans="1:12" ht="32.25" customHeight="1">
      <c r="E4" s="103"/>
    </row>
    <row r="5" spans="1:12">
      <c r="A5" s="71" t="s">
        <v>4037</v>
      </c>
      <c r="B5" s="71" t="s">
        <v>4038</v>
      </c>
      <c r="C5" s="71" t="s">
        <v>4039</v>
      </c>
      <c r="D5" s="71" t="s">
        <v>4040</v>
      </c>
      <c r="E5" s="72">
        <v>8650566.0700000003</v>
      </c>
      <c r="F5" s="73">
        <v>39875</v>
      </c>
      <c r="G5" s="74">
        <v>39954</v>
      </c>
      <c r="H5" s="75">
        <v>39955</v>
      </c>
      <c r="I5" s="71"/>
      <c r="J5" s="71"/>
      <c r="K5" s="71"/>
      <c r="L5" s="76"/>
    </row>
    <row r="6" spans="1:12">
      <c r="A6" s="71" t="s">
        <v>4041</v>
      </c>
      <c r="B6" s="71" t="s">
        <v>4042</v>
      </c>
      <c r="C6" s="71"/>
      <c r="D6" s="71" t="s">
        <v>4043</v>
      </c>
      <c r="E6" s="72">
        <v>14000000</v>
      </c>
      <c r="F6" s="73">
        <v>39753</v>
      </c>
      <c r="G6" s="74"/>
      <c r="H6" s="71"/>
      <c r="I6" s="71"/>
      <c r="J6" s="71"/>
      <c r="K6" s="71"/>
      <c r="L6" s="76"/>
    </row>
    <row r="7" spans="1:12">
      <c r="A7" s="71" t="s">
        <v>4044</v>
      </c>
      <c r="B7" s="71" t="s">
        <v>4042</v>
      </c>
      <c r="C7" s="71"/>
      <c r="D7" s="71" t="s">
        <v>4045</v>
      </c>
      <c r="E7" s="72">
        <v>174000000</v>
      </c>
      <c r="F7" s="73">
        <v>39722</v>
      </c>
      <c r="G7" s="74"/>
      <c r="H7" s="71"/>
      <c r="I7" s="71"/>
      <c r="J7" s="71"/>
      <c r="K7" s="71"/>
      <c r="L7" s="76"/>
    </row>
    <row r="8" spans="1:12">
      <c r="A8" s="71" t="s">
        <v>4046</v>
      </c>
      <c r="B8" s="71" t="s">
        <v>4042</v>
      </c>
      <c r="C8" s="71" t="s">
        <v>4047</v>
      </c>
      <c r="D8" s="71" t="s">
        <v>4048</v>
      </c>
      <c r="E8" s="72">
        <v>20000000</v>
      </c>
      <c r="F8" s="73">
        <v>39965</v>
      </c>
      <c r="G8" s="74"/>
      <c r="H8" s="71"/>
      <c r="I8" s="71"/>
      <c r="J8" s="71"/>
      <c r="K8" s="71" t="s">
        <v>4049</v>
      </c>
      <c r="L8" s="76"/>
    </row>
    <row r="9" spans="1:12" ht="22.5">
      <c r="A9" s="71" t="s">
        <v>4050</v>
      </c>
      <c r="B9" s="71" t="s">
        <v>4042</v>
      </c>
      <c r="C9" s="71" t="s">
        <v>4051</v>
      </c>
      <c r="D9" s="71" t="s">
        <v>4052</v>
      </c>
      <c r="E9" s="72">
        <v>165000000</v>
      </c>
      <c r="F9" s="73">
        <v>39965</v>
      </c>
      <c r="G9" s="74"/>
      <c r="H9" s="71"/>
      <c r="I9" s="71"/>
      <c r="J9" s="71"/>
      <c r="K9" s="71" t="s">
        <v>4049</v>
      </c>
      <c r="L9" s="76"/>
    </row>
    <row r="10" spans="1:12" ht="22.5">
      <c r="A10" s="71" t="s">
        <v>4053</v>
      </c>
      <c r="B10" s="71" t="s">
        <v>4042</v>
      </c>
      <c r="C10" s="71"/>
      <c r="D10" s="71" t="s">
        <v>4054</v>
      </c>
      <c r="E10" s="72">
        <v>6000000</v>
      </c>
      <c r="F10" s="73">
        <v>39814</v>
      </c>
      <c r="G10" s="74"/>
      <c r="H10" s="71"/>
      <c r="I10" s="71"/>
      <c r="J10" s="71"/>
      <c r="K10" s="71"/>
      <c r="L10" s="76"/>
    </row>
    <row r="11" spans="1:12">
      <c r="A11" s="71" t="s">
        <v>4055</v>
      </c>
      <c r="B11" s="71" t="s">
        <v>4056</v>
      </c>
      <c r="C11" s="71"/>
      <c r="D11" s="71" t="s">
        <v>4057</v>
      </c>
      <c r="E11" s="72">
        <v>30000000</v>
      </c>
      <c r="F11" s="73">
        <v>39722</v>
      </c>
      <c r="G11" s="74"/>
      <c r="H11" s="71"/>
      <c r="I11" s="71"/>
      <c r="J11" s="71"/>
      <c r="K11" s="71" t="s">
        <v>4049</v>
      </c>
      <c r="L11" s="76"/>
    </row>
    <row r="12" spans="1:12">
      <c r="A12" s="134">
        <v>39539</v>
      </c>
      <c r="B12" s="71"/>
      <c r="C12" s="71"/>
      <c r="D12" s="71"/>
      <c r="E12" s="72"/>
      <c r="F12" s="73"/>
      <c r="G12" s="74"/>
      <c r="H12" s="71"/>
      <c r="I12" s="71"/>
      <c r="J12" s="71"/>
      <c r="K12" s="71"/>
      <c r="L12" s="76"/>
    </row>
    <row r="13" spans="1:12">
      <c r="A13" s="71" t="s">
        <v>4058</v>
      </c>
      <c r="B13" s="71" t="s">
        <v>4038</v>
      </c>
      <c r="C13" s="71" t="s">
        <v>4059</v>
      </c>
      <c r="D13" s="71" t="s">
        <v>4060</v>
      </c>
      <c r="E13" s="72"/>
      <c r="F13" s="73">
        <v>39736</v>
      </c>
      <c r="G13" s="74"/>
      <c r="H13" s="71"/>
      <c r="I13" s="71"/>
      <c r="J13" s="71"/>
      <c r="K13" s="71" t="s">
        <v>4049</v>
      </c>
      <c r="L13" s="76"/>
    </row>
    <row r="14" spans="1:12">
      <c r="A14" s="71" t="s">
        <v>4061</v>
      </c>
      <c r="B14" s="71" t="s">
        <v>4062</v>
      </c>
      <c r="C14" s="71" t="s">
        <v>4063</v>
      </c>
      <c r="D14" s="71" t="s">
        <v>4064</v>
      </c>
      <c r="E14" s="72">
        <v>3519600</v>
      </c>
      <c r="F14" s="73">
        <v>39737</v>
      </c>
      <c r="G14" s="74">
        <v>39870</v>
      </c>
      <c r="H14" s="75">
        <v>39871</v>
      </c>
      <c r="I14" s="71"/>
      <c r="J14" s="71"/>
      <c r="K14" s="71"/>
      <c r="L14" s="76"/>
    </row>
    <row r="15" spans="1:12">
      <c r="A15" s="77">
        <v>39576</v>
      </c>
      <c r="B15" s="71"/>
      <c r="C15" s="71"/>
      <c r="D15" s="71"/>
      <c r="E15" s="72"/>
      <c r="F15" s="73"/>
      <c r="G15" s="74"/>
      <c r="H15" s="71"/>
      <c r="I15" s="71"/>
      <c r="J15" s="71"/>
      <c r="K15" s="71"/>
      <c r="L15" s="76"/>
    </row>
    <row r="16" spans="1:12">
      <c r="A16" s="78" t="s">
        <v>4065</v>
      </c>
      <c r="B16" s="71" t="s">
        <v>4066</v>
      </c>
      <c r="C16" s="71" t="s">
        <v>4049</v>
      </c>
      <c r="D16" s="71" t="s">
        <v>4067</v>
      </c>
      <c r="E16" s="72"/>
      <c r="F16" s="73">
        <v>39788</v>
      </c>
      <c r="G16" s="74"/>
      <c r="H16" s="71"/>
      <c r="I16" s="71"/>
      <c r="J16" s="71"/>
      <c r="K16" s="71" t="s">
        <v>4049</v>
      </c>
      <c r="L16" s="76"/>
    </row>
    <row r="17" spans="1:12">
      <c r="A17" s="78" t="s">
        <v>4068</v>
      </c>
      <c r="B17" s="71" t="s">
        <v>4069</v>
      </c>
      <c r="C17" s="71" t="s">
        <v>4070</v>
      </c>
      <c r="D17" s="71" t="s">
        <v>4071</v>
      </c>
      <c r="E17" s="72">
        <v>3062986.89</v>
      </c>
      <c r="F17" s="73">
        <v>39926</v>
      </c>
      <c r="G17" s="74">
        <v>39980</v>
      </c>
      <c r="H17" s="75">
        <v>39981</v>
      </c>
      <c r="I17" s="71"/>
      <c r="J17" s="71"/>
      <c r="K17" s="71"/>
      <c r="L17" s="76"/>
    </row>
    <row r="18" spans="1:12">
      <c r="A18" s="78">
        <v>39607</v>
      </c>
      <c r="B18" s="71"/>
      <c r="C18" s="71"/>
      <c r="D18" s="71"/>
      <c r="E18" s="72"/>
      <c r="F18" s="73"/>
      <c r="G18" s="74"/>
      <c r="H18" s="71"/>
      <c r="I18" s="71"/>
      <c r="J18" s="71"/>
      <c r="K18" s="71"/>
      <c r="L18" s="76"/>
    </row>
    <row r="19" spans="1:12">
      <c r="A19" s="78" t="s">
        <v>4072</v>
      </c>
      <c r="B19" s="71" t="s">
        <v>4069</v>
      </c>
      <c r="C19" s="71" t="s">
        <v>4073</v>
      </c>
      <c r="D19" s="71" t="s">
        <v>4074</v>
      </c>
      <c r="E19" s="72"/>
      <c r="F19" s="73">
        <v>39873</v>
      </c>
      <c r="G19" s="74"/>
      <c r="H19" s="71"/>
      <c r="I19" s="71"/>
      <c r="J19" s="71"/>
      <c r="K19" s="71"/>
      <c r="L19" s="76"/>
    </row>
    <row r="20" spans="1:12">
      <c r="A20" s="78" t="s">
        <v>4075</v>
      </c>
      <c r="B20" s="71"/>
      <c r="C20" s="71"/>
      <c r="D20" s="71"/>
      <c r="E20" s="72"/>
      <c r="F20" s="73"/>
      <c r="G20" s="74"/>
      <c r="H20" s="71"/>
      <c r="I20" s="71"/>
      <c r="J20" s="71"/>
      <c r="K20" s="71"/>
      <c r="L20" s="76"/>
    </row>
    <row r="21" spans="1:12">
      <c r="A21" s="78">
        <v>39637</v>
      </c>
      <c r="B21" s="71"/>
      <c r="C21" s="71"/>
      <c r="D21" s="71"/>
      <c r="E21" s="72"/>
      <c r="F21" s="73"/>
      <c r="G21" s="74"/>
      <c r="H21" s="71"/>
      <c r="I21" s="71"/>
      <c r="J21" s="71"/>
      <c r="K21" s="71"/>
      <c r="L21" s="76"/>
    </row>
    <row r="22" spans="1:12">
      <c r="A22" s="78" t="s">
        <v>4076</v>
      </c>
      <c r="B22" s="71" t="s">
        <v>4069</v>
      </c>
      <c r="C22" s="71" t="s">
        <v>4077</v>
      </c>
      <c r="D22" s="71" t="s">
        <v>4078</v>
      </c>
      <c r="E22" s="72">
        <v>3987821.76</v>
      </c>
      <c r="F22" s="73">
        <v>39730</v>
      </c>
      <c r="G22" s="74">
        <v>39770</v>
      </c>
      <c r="H22" s="75">
        <v>39772</v>
      </c>
      <c r="I22" s="75">
        <v>40076</v>
      </c>
      <c r="J22" s="75">
        <v>40120</v>
      </c>
      <c r="K22" s="71" t="s">
        <v>4079</v>
      </c>
      <c r="L22" s="76"/>
    </row>
    <row r="23" spans="1:12">
      <c r="A23" s="78" t="s">
        <v>4080</v>
      </c>
      <c r="B23" s="71" t="s">
        <v>4069</v>
      </c>
      <c r="C23" s="71" t="s">
        <v>4081</v>
      </c>
      <c r="D23" s="71" t="s">
        <v>4082</v>
      </c>
      <c r="E23" s="72">
        <v>426027</v>
      </c>
      <c r="F23" s="73">
        <v>39744</v>
      </c>
      <c r="G23" s="74">
        <v>39770</v>
      </c>
      <c r="H23" s="75">
        <v>39772</v>
      </c>
      <c r="I23" s="75">
        <v>40029</v>
      </c>
      <c r="J23" s="75">
        <v>40107</v>
      </c>
      <c r="K23" s="71" t="s">
        <v>4079</v>
      </c>
      <c r="L23" s="76"/>
    </row>
    <row r="24" spans="1:12">
      <c r="A24" s="78" t="s">
        <v>4083</v>
      </c>
      <c r="B24" s="71" t="s">
        <v>4069</v>
      </c>
      <c r="C24" s="71" t="s">
        <v>4084</v>
      </c>
      <c r="D24" s="71" t="s">
        <v>4085</v>
      </c>
      <c r="E24" s="72">
        <v>146346</v>
      </c>
      <c r="F24" s="73">
        <v>39884</v>
      </c>
      <c r="G24" s="74">
        <v>39938</v>
      </c>
      <c r="H24" s="75">
        <v>39939</v>
      </c>
      <c r="I24" s="75">
        <v>40170</v>
      </c>
      <c r="J24" s="75">
        <v>40184</v>
      </c>
      <c r="K24" s="71" t="s">
        <v>4079</v>
      </c>
      <c r="L24" s="76"/>
    </row>
    <row r="25" spans="1:12">
      <c r="A25" s="78" t="s">
        <v>4086</v>
      </c>
      <c r="B25" s="71" t="s">
        <v>4038</v>
      </c>
      <c r="C25" s="71"/>
      <c r="D25" s="71" t="s">
        <v>4087</v>
      </c>
      <c r="E25" s="72">
        <v>2081000</v>
      </c>
      <c r="F25" s="73">
        <v>39727</v>
      </c>
      <c r="G25" s="74"/>
      <c r="H25" s="71"/>
      <c r="I25" s="71"/>
      <c r="J25" s="71"/>
      <c r="K25" s="71"/>
      <c r="L25" s="76"/>
    </row>
    <row r="26" spans="1:12">
      <c r="A26" s="78" t="s">
        <v>4088</v>
      </c>
      <c r="B26" s="71" t="s">
        <v>4089</v>
      </c>
      <c r="C26" s="71" t="s">
        <v>4090</v>
      </c>
      <c r="D26" s="71" t="s">
        <v>4091</v>
      </c>
      <c r="E26" s="72">
        <v>2306660</v>
      </c>
      <c r="F26" s="73">
        <v>39793</v>
      </c>
      <c r="G26" s="74">
        <v>39847</v>
      </c>
      <c r="H26" s="75">
        <v>39855</v>
      </c>
      <c r="I26" s="75">
        <v>40192</v>
      </c>
      <c r="J26" s="71"/>
      <c r="K26" s="71" t="s">
        <v>4079</v>
      </c>
      <c r="L26" s="76"/>
    </row>
    <row r="27" spans="1:12">
      <c r="A27" s="78" t="s">
        <v>4092</v>
      </c>
      <c r="B27" s="71" t="s">
        <v>4056</v>
      </c>
      <c r="C27" s="71" t="s">
        <v>4093</v>
      </c>
      <c r="D27" s="71" t="s">
        <v>4094</v>
      </c>
      <c r="E27" s="72">
        <v>4679428</v>
      </c>
      <c r="F27" s="73">
        <v>39819</v>
      </c>
      <c r="G27" s="74"/>
      <c r="H27" s="71"/>
      <c r="I27" s="75">
        <v>40367</v>
      </c>
      <c r="J27" s="75">
        <v>40386</v>
      </c>
      <c r="K27" s="71" t="s">
        <v>4079</v>
      </c>
      <c r="L27" s="76"/>
    </row>
    <row r="28" spans="1:12" ht="22.5">
      <c r="A28" s="78" t="s">
        <v>4095</v>
      </c>
      <c r="B28" s="71" t="s">
        <v>4056</v>
      </c>
      <c r="C28" s="71" t="s">
        <v>4096</v>
      </c>
      <c r="D28" s="71" t="s">
        <v>4097</v>
      </c>
      <c r="E28" s="72">
        <v>6116355</v>
      </c>
      <c r="F28" s="73">
        <v>39735</v>
      </c>
      <c r="G28" s="74">
        <v>39980</v>
      </c>
      <c r="H28" s="75">
        <v>39987</v>
      </c>
      <c r="I28" s="75">
        <v>40248</v>
      </c>
      <c r="J28" s="75">
        <v>40261</v>
      </c>
      <c r="K28" s="71" t="s">
        <v>4079</v>
      </c>
      <c r="L28" s="76"/>
    </row>
    <row r="29" spans="1:12">
      <c r="A29" s="78" t="s">
        <v>4098</v>
      </c>
      <c r="B29" s="71" t="s">
        <v>4056</v>
      </c>
      <c r="C29" s="71" t="s">
        <v>4093</v>
      </c>
      <c r="D29" s="71" t="s">
        <v>4099</v>
      </c>
      <c r="E29" s="72">
        <v>12875372</v>
      </c>
      <c r="F29" s="73">
        <v>39800</v>
      </c>
      <c r="G29" s="74">
        <v>39861</v>
      </c>
      <c r="H29" s="75">
        <v>39912</v>
      </c>
      <c r="I29" s="75">
        <v>40429</v>
      </c>
      <c r="J29" s="75">
        <v>40430</v>
      </c>
      <c r="K29" s="71" t="s">
        <v>4079</v>
      </c>
      <c r="L29" s="76"/>
    </row>
    <row r="30" spans="1:12">
      <c r="A30" s="78" t="s">
        <v>4100</v>
      </c>
      <c r="B30" s="71" t="s">
        <v>4038</v>
      </c>
      <c r="C30" s="71" t="s">
        <v>4101</v>
      </c>
      <c r="D30" s="71" t="s">
        <v>4102</v>
      </c>
      <c r="E30" s="72"/>
      <c r="F30" s="73">
        <v>39748</v>
      </c>
      <c r="G30" s="74"/>
      <c r="H30" s="71"/>
      <c r="I30" s="71"/>
      <c r="J30" s="71"/>
      <c r="K30" s="71" t="s">
        <v>4049</v>
      </c>
      <c r="L30" s="76"/>
    </row>
    <row r="31" spans="1:12">
      <c r="A31" s="78">
        <v>39668</v>
      </c>
      <c r="B31" s="71"/>
      <c r="C31" s="71"/>
      <c r="D31" s="71"/>
      <c r="E31" s="72"/>
      <c r="F31" s="73"/>
      <c r="G31" s="74"/>
      <c r="H31" s="71"/>
      <c r="I31" s="71"/>
      <c r="J31" s="71"/>
      <c r="K31" s="71"/>
      <c r="L31" s="76"/>
    </row>
    <row r="32" spans="1:12">
      <c r="A32" s="78" t="s">
        <v>4103</v>
      </c>
      <c r="B32" s="71" t="s">
        <v>4104</v>
      </c>
      <c r="C32" s="71"/>
      <c r="D32" s="71" t="s">
        <v>4105</v>
      </c>
      <c r="E32" s="72">
        <v>31000000</v>
      </c>
      <c r="F32" s="73">
        <v>39873</v>
      </c>
      <c r="G32" s="74"/>
      <c r="H32" s="71"/>
      <c r="I32" s="71"/>
      <c r="J32" s="71"/>
      <c r="K32" s="71"/>
      <c r="L32" s="76"/>
    </row>
    <row r="33" spans="1:12">
      <c r="A33" s="78" t="s">
        <v>4106</v>
      </c>
      <c r="B33" s="71" t="s">
        <v>4066</v>
      </c>
      <c r="C33" s="71" t="s">
        <v>4049</v>
      </c>
      <c r="D33" s="71" t="s">
        <v>4107</v>
      </c>
      <c r="E33" s="72"/>
      <c r="F33" s="73">
        <v>39777</v>
      </c>
      <c r="G33" s="74"/>
      <c r="H33" s="71"/>
      <c r="I33" s="71"/>
      <c r="J33" s="71"/>
      <c r="K33" s="71" t="s">
        <v>4049</v>
      </c>
      <c r="L33" s="76"/>
    </row>
    <row r="34" spans="1:12">
      <c r="A34" s="78">
        <v>39668</v>
      </c>
      <c r="B34" s="71"/>
      <c r="C34" s="71"/>
      <c r="D34" s="71"/>
      <c r="E34" s="72"/>
      <c r="F34" s="73"/>
      <c r="G34" s="74"/>
      <c r="H34" s="71"/>
      <c r="I34" s="71"/>
      <c r="J34" s="71"/>
      <c r="K34" s="71"/>
      <c r="L34" s="76"/>
    </row>
    <row r="35" spans="1:12">
      <c r="A35" s="71" t="s">
        <v>4108</v>
      </c>
      <c r="B35" s="71" t="s">
        <v>4062</v>
      </c>
      <c r="C35" s="71" t="s">
        <v>4109</v>
      </c>
      <c r="D35" s="71" t="s">
        <v>4110</v>
      </c>
      <c r="E35" s="72">
        <v>419000</v>
      </c>
      <c r="F35" s="73" t="s">
        <v>4111</v>
      </c>
      <c r="G35" s="74">
        <v>39773</v>
      </c>
      <c r="H35" s="75">
        <v>39791</v>
      </c>
      <c r="I35" s="71"/>
      <c r="J35" s="71"/>
      <c r="K35" s="71"/>
      <c r="L35" s="76"/>
    </row>
    <row r="36" spans="1:12">
      <c r="A36" s="71" t="s">
        <v>4112</v>
      </c>
      <c r="B36" s="71" t="s">
        <v>4069</v>
      </c>
      <c r="C36" s="71" t="s">
        <v>4049</v>
      </c>
      <c r="D36" s="71" t="s">
        <v>4113</v>
      </c>
      <c r="E36" s="72"/>
      <c r="F36" s="73">
        <v>39722</v>
      </c>
      <c r="G36" s="74"/>
      <c r="H36" s="71"/>
      <c r="I36" s="71"/>
      <c r="J36" s="71"/>
      <c r="K36" s="71" t="s">
        <v>4049</v>
      </c>
      <c r="L36" s="76"/>
    </row>
    <row r="37" spans="1:12">
      <c r="A37" s="71" t="s">
        <v>4114</v>
      </c>
      <c r="B37" s="71" t="s">
        <v>4042</v>
      </c>
      <c r="C37" s="71"/>
      <c r="D37" s="71" t="s">
        <v>4115</v>
      </c>
      <c r="E37" s="72">
        <v>20000000</v>
      </c>
      <c r="F37" s="73">
        <v>39783</v>
      </c>
      <c r="G37" s="74"/>
      <c r="H37" s="71"/>
      <c r="I37" s="71"/>
      <c r="J37" s="71"/>
      <c r="K37" s="71"/>
      <c r="L37" s="76"/>
    </row>
    <row r="38" spans="1:12">
      <c r="A38" s="71" t="s">
        <v>4116</v>
      </c>
      <c r="B38" s="71" t="s">
        <v>4042</v>
      </c>
      <c r="C38" s="71"/>
      <c r="D38" s="71" t="s">
        <v>4117</v>
      </c>
      <c r="E38" s="72">
        <v>43000000</v>
      </c>
      <c r="F38" s="73">
        <v>39753</v>
      </c>
      <c r="G38" s="74"/>
      <c r="H38" s="71"/>
      <c r="I38" s="71"/>
      <c r="J38" s="71"/>
      <c r="K38" s="71"/>
      <c r="L38" s="76"/>
    </row>
    <row r="39" spans="1:12">
      <c r="A39" s="71" t="s">
        <v>4118</v>
      </c>
      <c r="B39" s="71" t="s">
        <v>4042</v>
      </c>
      <c r="C39" s="71" t="s">
        <v>4119</v>
      </c>
      <c r="D39" s="71" t="s">
        <v>4120</v>
      </c>
      <c r="E39" s="72">
        <v>14000000</v>
      </c>
      <c r="F39" s="73">
        <v>39814</v>
      </c>
      <c r="G39" s="74"/>
      <c r="H39" s="71"/>
      <c r="I39" s="71"/>
      <c r="J39" s="71"/>
      <c r="K39" s="71"/>
      <c r="L39" s="76"/>
    </row>
    <row r="40" spans="1:12">
      <c r="A40" s="71" t="s">
        <v>4121</v>
      </c>
      <c r="B40" s="71" t="s">
        <v>4066</v>
      </c>
      <c r="C40" s="71" t="s">
        <v>4122</v>
      </c>
      <c r="D40" s="71" t="s">
        <v>4123</v>
      </c>
      <c r="E40" s="72">
        <v>1199765</v>
      </c>
      <c r="F40" s="73">
        <v>39765</v>
      </c>
      <c r="G40" s="74">
        <v>39818</v>
      </c>
      <c r="H40" s="75">
        <v>39820</v>
      </c>
      <c r="I40" s="75">
        <v>40325</v>
      </c>
      <c r="J40" s="75">
        <v>40393</v>
      </c>
      <c r="K40" s="71" t="s">
        <v>4079</v>
      </c>
      <c r="L40" s="76"/>
    </row>
    <row r="41" spans="1:12">
      <c r="A41" s="71" t="s">
        <v>4124</v>
      </c>
      <c r="B41" s="71" t="s">
        <v>4066</v>
      </c>
      <c r="C41" s="71" t="s">
        <v>4125</v>
      </c>
      <c r="D41" s="71" t="s">
        <v>4126</v>
      </c>
      <c r="E41" s="72">
        <v>13116857</v>
      </c>
      <c r="F41" s="73">
        <v>39737</v>
      </c>
      <c r="G41" s="74">
        <v>39757</v>
      </c>
      <c r="H41" s="75">
        <v>39759</v>
      </c>
      <c r="I41" s="75">
        <v>40428</v>
      </c>
      <c r="J41" s="75">
        <v>40429</v>
      </c>
      <c r="K41" s="71" t="s">
        <v>4079</v>
      </c>
      <c r="L41" s="76"/>
    </row>
    <row r="42" spans="1:12" ht="22.5">
      <c r="A42" s="71" t="s">
        <v>4127</v>
      </c>
      <c r="B42" s="71" t="s">
        <v>4128</v>
      </c>
      <c r="C42" s="71" t="s">
        <v>4129</v>
      </c>
      <c r="D42" s="71" t="s">
        <v>4130</v>
      </c>
      <c r="E42" s="72">
        <v>4044170.9</v>
      </c>
      <c r="F42" s="73">
        <v>39737</v>
      </c>
      <c r="G42" s="74">
        <v>39771</v>
      </c>
      <c r="H42" s="75">
        <v>39771</v>
      </c>
      <c r="I42" s="71" t="s">
        <v>4131</v>
      </c>
      <c r="J42" s="71"/>
      <c r="K42" s="71"/>
      <c r="L42" s="76"/>
    </row>
    <row r="43" spans="1:12">
      <c r="A43" s="71" t="s">
        <v>4132</v>
      </c>
      <c r="B43" s="71" t="s">
        <v>4133</v>
      </c>
      <c r="C43" s="71" t="s">
        <v>4134</v>
      </c>
      <c r="D43" s="71" t="s">
        <v>4135</v>
      </c>
      <c r="E43" s="72">
        <v>768328</v>
      </c>
      <c r="F43" s="73">
        <v>39617</v>
      </c>
      <c r="G43" s="74">
        <v>39771</v>
      </c>
      <c r="H43" s="75">
        <v>39896</v>
      </c>
      <c r="I43" s="71"/>
      <c r="J43" s="71"/>
      <c r="K43" s="71"/>
      <c r="L43" s="76"/>
    </row>
    <row r="44" spans="1:12">
      <c r="A44" s="71" t="s">
        <v>4136</v>
      </c>
      <c r="B44" s="71" t="s">
        <v>4137</v>
      </c>
      <c r="C44" s="71" t="s">
        <v>4138</v>
      </c>
      <c r="D44" s="71" t="s">
        <v>4139</v>
      </c>
      <c r="E44" s="72">
        <v>327850</v>
      </c>
      <c r="F44" s="73">
        <v>39722</v>
      </c>
      <c r="G44" s="74">
        <v>40166</v>
      </c>
      <c r="H44" s="75">
        <v>39902</v>
      </c>
      <c r="I44" s="75">
        <v>39940</v>
      </c>
      <c r="J44" s="75">
        <v>40052</v>
      </c>
      <c r="K44" s="71" t="s">
        <v>4079</v>
      </c>
      <c r="L44" s="76"/>
    </row>
    <row r="45" spans="1:12" ht="22.5">
      <c r="A45" s="71" t="s">
        <v>4140</v>
      </c>
      <c r="B45" s="71" t="s">
        <v>4069</v>
      </c>
      <c r="C45" s="71" t="s">
        <v>4141</v>
      </c>
      <c r="D45" s="71" t="s">
        <v>4142</v>
      </c>
      <c r="E45" s="72">
        <v>203422.67</v>
      </c>
      <c r="F45" s="73">
        <v>39722</v>
      </c>
      <c r="G45" s="74">
        <v>39847</v>
      </c>
      <c r="H45" s="75">
        <v>39826</v>
      </c>
      <c r="I45" s="75">
        <v>40079</v>
      </c>
      <c r="J45" s="75">
        <v>40087</v>
      </c>
      <c r="K45" s="71" t="s">
        <v>4079</v>
      </c>
      <c r="L45" s="76"/>
    </row>
    <row r="46" spans="1:12">
      <c r="A46" s="71" t="s">
        <v>4143</v>
      </c>
      <c r="B46" s="71" t="s">
        <v>4056</v>
      </c>
      <c r="C46" s="71" t="s">
        <v>4144</v>
      </c>
      <c r="D46" s="71" t="s">
        <v>4145</v>
      </c>
      <c r="E46" s="72">
        <v>59000000</v>
      </c>
      <c r="F46" s="73">
        <v>39870</v>
      </c>
      <c r="G46" s="74"/>
      <c r="H46" s="71"/>
      <c r="I46" s="71"/>
      <c r="J46" s="71"/>
      <c r="K46" s="71"/>
      <c r="L46" s="76"/>
    </row>
    <row r="47" spans="1:12">
      <c r="A47" s="79">
        <v>39692</v>
      </c>
      <c r="B47" s="71"/>
      <c r="C47" s="71"/>
      <c r="D47" s="71"/>
      <c r="E47" s="72"/>
      <c r="F47" s="73"/>
      <c r="G47" s="74"/>
      <c r="H47" s="71"/>
      <c r="I47" s="71"/>
      <c r="J47" s="71"/>
      <c r="K47" s="71"/>
      <c r="L47" s="76"/>
    </row>
    <row r="48" spans="1:12">
      <c r="A48" s="71" t="s">
        <v>4146</v>
      </c>
      <c r="B48" s="71" t="s">
        <v>4147</v>
      </c>
      <c r="C48" s="71" t="s">
        <v>4148</v>
      </c>
      <c r="D48" s="71" t="s">
        <v>4149</v>
      </c>
      <c r="E48" s="72">
        <v>246445</v>
      </c>
      <c r="F48" s="73">
        <v>39744</v>
      </c>
      <c r="G48" s="74">
        <v>39765</v>
      </c>
      <c r="H48" s="75">
        <v>39794</v>
      </c>
      <c r="I48" s="71"/>
      <c r="J48" s="71"/>
      <c r="K48" s="71"/>
      <c r="L48" s="76"/>
    </row>
    <row r="49" spans="1:12">
      <c r="A49" s="71" t="s">
        <v>4150</v>
      </c>
      <c r="B49" s="71" t="s">
        <v>4128</v>
      </c>
      <c r="C49" s="71" t="s">
        <v>4151</v>
      </c>
      <c r="D49" s="71" t="s">
        <v>4152</v>
      </c>
      <c r="E49" s="72">
        <v>77571.179999999993</v>
      </c>
      <c r="F49" s="73">
        <v>39735</v>
      </c>
      <c r="G49" s="74">
        <v>39749</v>
      </c>
      <c r="H49" s="75">
        <v>39749</v>
      </c>
      <c r="I49" s="71"/>
      <c r="J49" s="71"/>
      <c r="K49" s="71"/>
      <c r="L49" s="76"/>
    </row>
    <row r="50" spans="1:12">
      <c r="A50" s="71" t="s">
        <v>4153</v>
      </c>
      <c r="B50" s="71" t="s">
        <v>4069</v>
      </c>
      <c r="C50" s="71" t="s">
        <v>4154</v>
      </c>
      <c r="D50" s="71" t="s">
        <v>4155</v>
      </c>
      <c r="E50" s="72">
        <v>685092</v>
      </c>
      <c r="F50" s="73">
        <v>40141</v>
      </c>
      <c r="G50" s="74">
        <v>40183</v>
      </c>
      <c r="H50" s="75">
        <v>40184</v>
      </c>
      <c r="I50" s="71"/>
      <c r="J50" s="71"/>
      <c r="K50" s="71"/>
      <c r="L50" s="76"/>
    </row>
    <row r="51" spans="1:12" ht="22.5">
      <c r="A51" s="71" t="s">
        <v>4156</v>
      </c>
      <c r="B51" s="71" t="s">
        <v>3481</v>
      </c>
      <c r="C51" s="71" t="s">
        <v>4129</v>
      </c>
      <c r="D51" s="71" t="s">
        <v>4157</v>
      </c>
      <c r="E51" s="72">
        <v>565000</v>
      </c>
      <c r="F51" s="73">
        <v>39730</v>
      </c>
      <c r="G51" s="74">
        <v>39757</v>
      </c>
      <c r="H51" s="75">
        <v>39769</v>
      </c>
      <c r="I51" s="71"/>
      <c r="J51" s="71"/>
      <c r="K51" s="71"/>
      <c r="L51" s="76"/>
    </row>
    <row r="52" spans="1:12" ht="78.75">
      <c r="A52" s="80" t="s">
        <v>4158</v>
      </c>
      <c r="B52" s="80" t="s">
        <v>3481</v>
      </c>
      <c r="C52" s="80" t="s">
        <v>4159</v>
      </c>
      <c r="D52" s="80" t="s">
        <v>4160</v>
      </c>
      <c r="E52" s="81">
        <v>5013559</v>
      </c>
      <c r="F52" s="82">
        <v>39777</v>
      </c>
      <c r="G52" s="83">
        <v>39798</v>
      </c>
      <c r="H52" s="84">
        <v>39801</v>
      </c>
      <c r="I52" s="80"/>
      <c r="J52" s="80"/>
      <c r="K52" s="80" t="s">
        <v>4161</v>
      </c>
      <c r="L52" s="76"/>
    </row>
    <row r="53" spans="1:12">
      <c r="A53" s="80" t="s">
        <v>4162</v>
      </c>
      <c r="B53" s="80" t="s">
        <v>3481</v>
      </c>
      <c r="C53" s="80" t="s">
        <v>4163</v>
      </c>
      <c r="D53" s="80" t="s">
        <v>4164</v>
      </c>
      <c r="E53" s="81">
        <v>5013559</v>
      </c>
      <c r="F53" s="82">
        <v>39800</v>
      </c>
      <c r="G53" s="83">
        <v>39815</v>
      </c>
      <c r="H53" s="84">
        <v>39820</v>
      </c>
      <c r="I53" s="80"/>
      <c r="J53" s="80"/>
      <c r="K53" s="80"/>
      <c r="L53" s="76"/>
    </row>
    <row r="54" spans="1:12" ht="22.5">
      <c r="A54" s="71" t="s">
        <v>4165</v>
      </c>
      <c r="B54" s="71" t="s">
        <v>4147</v>
      </c>
      <c r="C54" s="71" t="s">
        <v>4166</v>
      </c>
      <c r="D54" s="71" t="s">
        <v>4167</v>
      </c>
      <c r="E54" s="72">
        <v>100000</v>
      </c>
      <c r="F54" s="73">
        <v>39773</v>
      </c>
      <c r="G54" s="74">
        <v>39856</v>
      </c>
      <c r="H54" s="75">
        <v>39909</v>
      </c>
      <c r="I54" s="71"/>
      <c r="J54" s="71"/>
      <c r="K54" s="71"/>
      <c r="L54" s="76"/>
    </row>
    <row r="55" spans="1:12">
      <c r="A55" s="71" t="s">
        <v>4168</v>
      </c>
      <c r="B55" s="71" t="s">
        <v>4056</v>
      </c>
      <c r="C55" s="71" t="s">
        <v>4093</v>
      </c>
      <c r="D55" s="71" t="s">
        <v>4169</v>
      </c>
      <c r="E55" s="72">
        <v>6827398</v>
      </c>
      <c r="F55" s="73">
        <v>39924</v>
      </c>
      <c r="G55" s="74">
        <v>39980</v>
      </c>
      <c r="H55" s="75">
        <v>39987</v>
      </c>
      <c r="I55" s="75">
        <v>40377</v>
      </c>
      <c r="J55" s="75">
        <v>40416</v>
      </c>
      <c r="K55" s="71" t="s">
        <v>4079</v>
      </c>
      <c r="L55" s="76"/>
    </row>
    <row r="56" spans="1:12">
      <c r="A56" s="71" t="s">
        <v>4170</v>
      </c>
      <c r="B56" s="71" t="s">
        <v>4137</v>
      </c>
      <c r="C56" s="71" t="s">
        <v>4171</v>
      </c>
      <c r="D56" s="71" t="s">
        <v>4172</v>
      </c>
      <c r="E56" s="72">
        <v>157240</v>
      </c>
      <c r="F56" s="73">
        <v>39742</v>
      </c>
      <c r="G56" s="74">
        <v>39784</v>
      </c>
      <c r="H56" s="75">
        <v>39784</v>
      </c>
      <c r="I56" s="71" t="s">
        <v>4173</v>
      </c>
      <c r="J56" s="71"/>
      <c r="K56" s="71"/>
      <c r="L56" s="76"/>
    </row>
    <row r="57" spans="1:12">
      <c r="A57" s="71" t="s">
        <v>4174</v>
      </c>
      <c r="B57" s="71" t="s">
        <v>4175</v>
      </c>
      <c r="C57" s="71" t="s">
        <v>4176</v>
      </c>
      <c r="D57" s="71" t="s">
        <v>4177</v>
      </c>
      <c r="E57" s="72">
        <v>80080</v>
      </c>
      <c r="F57" s="73">
        <v>39729</v>
      </c>
      <c r="G57" s="74">
        <v>39742</v>
      </c>
      <c r="H57" s="75">
        <v>39759</v>
      </c>
      <c r="I57" s="75">
        <v>40077</v>
      </c>
      <c r="J57" s="75">
        <v>40081</v>
      </c>
      <c r="K57" s="71" t="s">
        <v>4079</v>
      </c>
      <c r="L57" s="76"/>
    </row>
    <row r="58" spans="1:12">
      <c r="A58" s="71" t="s">
        <v>4178</v>
      </c>
      <c r="B58" s="71" t="s">
        <v>4179</v>
      </c>
      <c r="C58" s="71" t="s">
        <v>4180</v>
      </c>
      <c r="D58" s="71" t="s">
        <v>4181</v>
      </c>
      <c r="E58" s="72">
        <v>195990</v>
      </c>
      <c r="F58" s="73">
        <v>39895</v>
      </c>
      <c r="G58" s="74">
        <v>39906</v>
      </c>
      <c r="H58" s="75">
        <v>39917</v>
      </c>
      <c r="I58" s="75">
        <v>39989</v>
      </c>
      <c r="J58" s="75">
        <v>39989</v>
      </c>
      <c r="K58" s="71" t="s">
        <v>4079</v>
      </c>
      <c r="L58" s="76"/>
    </row>
    <row r="59" spans="1:12">
      <c r="A59" s="71" t="s">
        <v>4182</v>
      </c>
      <c r="B59" s="71" t="s">
        <v>4137</v>
      </c>
      <c r="C59" s="71" t="s">
        <v>4183</v>
      </c>
      <c r="D59" s="71" t="s">
        <v>4184</v>
      </c>
      <c r="E59" s="72">
        <v>115400</v>
      </c>
      <c r="F59" s="73">
        <v>39736</v>
      </c>
      <c r="G59" s="74">
        <v>39766</v>
      </c>
      <c r="H59" s="75">
        <v>39812</v>
      </c>
      <c r="I59" s="75">
        <v>39828</v>
      </c>
      <c r="J59" s="75">
        <v>39979</v>
      </c>
      <c r="K59" s="71" t="s">
        <v>4079</v>
      </c>
      <c r="L59" s="76"/>
    </row>
    <row r="60" spans="1:12">
      <c r="A60" s="71" t="s">
        <v>4185</v>
      </c>
      <c r="B60" s="71" t="s">
        <v>4186</v>
      </c>
      <c r="C60" s="71" t="s">
        <v>4187</v>
      </c>
      <c r="D60" s="71" t="s">
        <v>4188</v>
      </c>
      <c r="E60" s="72">
        <v>2460610.6</v>
      </c>
      <c r="F60" s="73">
        <v>39735</v>
      </c>
      <c r="G60" s="74">
        <v>39742</v>
      </c>
      <c r="H60" s="75">
        <v>39742</v>
      </c>
      <c r="I60" s="75">
        <v>39901</v>
      </c>
      <c r="J60" s="75">
        <v>39941</v>
      </c>
      <c r="K60" s="71" t="s">
        <v>4079</v>
      </c>
      <c r="L60" s="76"/>
    </row>
    <row r="61" spans="1:12">
      <c r="A61" s="71" t="s">
        <v>4189</v>
      </c>
      <c r="B61" s="71" t="s">
        <v>4190</v>
      </c>
      <c r="C61" s="71" t="s">
        <v>4180</v>
      </c>
      <c r="D61" s="71" t="s">
        <v>4191</v>
      </c>
      <c r="E61" s="72">
        <v>209500</v>
      </c>
      <c r="F61" s="73">
        <v>39741</v>
      </c>
      <c r="G61" s="74">
        <v>39756</v>
      </c>
      <c r="H61" s="75">
        <v>39759</v>
      </c>
      <c r="I61" s="71"/>
      <c r="J61" s="71"/>
      <c r="K61" s="71"/>
      <c r="L61" s="76"/>
    </row>
    <row r="62" spans="1:12">
      <c r="A62" s="71" t="s">
        <v>4192</v>
      </c>
      <c r="B62" s="71" t="s">
        <v>4190</v>
      </c>
      <c r="C62" s="71" t="s">
        <v>4193</v>
      </c>
      <c r="D62" s="71" t="s">
        <v>4194</v>
      </c>
      <c r="E62" s="72">
        <v>337446.67</v>
      </c>
      <c r="F62" s="73">
        <v>39918</v>
      </c>
      <c r="G62" s="74">
        <v>39937</v>
      </c>
      <c r="H62" s="75">
        <v>39938</v>
      </c>
      <c r="I62" s="71"/>
      <c r="J62" s="71"/>
      <c r="K62" s="71" t="s">
        <v>4197</v>
      </c>
      <c r="L62" s="76"/>
    </row>
    <row r="63" spans="1:12" ht="22.5">
      <c r="A63" s="71" t="s">
        <v>4198</v>
      </c>
      <c r="B63" s="71" t="s">
        <v>3481</v>
      </c>
      <c r="C63" s="71" t="s">
        <v>4199</v>
      </c>
      <c r="D63" s="71" t="s">
        <v>4200</v>
      </c>
      <c r="E63" s="72">
        <v>4591497.5999999996</v>
      </c>
      <c r="F63" s="73">
        <v>39741</v>
      </c>
      <c r="G63" s="74">
        <v>39770</v>
      </c>
      <c r="H63" s="75">
        <v>39778</v>
      </c>
      <c r="I63" s="75">
        <v>40071</v>
      </c>
      <c r="J63" s="75">
        <v>40198</v>
      </c>
      <c r="K63" s="71" t="s">
        <v>4079</v>
      </c>
      <c r="L63" s="76"/>
    </row>
    <row r="64" spans="1:12">
      <c r="A64" s="71" t="s">
        <v>4201</v>
      </c>
      <c r="B64" s="71" t="s">
        <v>3481</v>
      </c>
      <c r="C64" s="71" t="s">
        <v>4187</v>
      </c>
      <c r="D64" s="71" t="s">
        <v>4202</v>
      </c>
      <c r="E64" s="72">
        <v>1289124</v>
      </c>
      <c r="F64" s="73">
        <v>39731</v>
      </c>
      <c r="G64" s="74">
        <v>39757</v>
      </c>
      <c r="H64" s="75">
        <v>39759</v>
      </c>
      <c r="I64" s="75">
        <v>40031</v>
      </c>
      <c r="J64" s="75">
        <v>40094</v>
      </c>
      <c r="K64" s="71" t="s">
        <v>4079</v>
      </c>
      <c r="L64" s="76"/>
    </row>
    <row r="65" spans="1:12">
      <c r="A65" s="71" t="s">
        <v>4203</v>
      </c>
      <c r="B65" s="71" t="s">
        <v>3481</v>
      </c>
      <c r="C65" s="71" t="s">
        <v>4204</v>
      </c>
      <c r="D65" s="71" t="s">
        <v>4205</v>
      </c>
      <c r="E65" s="72">
        <v>89902</v>
      </c>
      <c r="F65" s="73">
        <v>39723</v>
      </c>
      <c r="G65" s="74">
        <v>39743</v>
      </c>
      <c r="H65" s="75">
        <v>39748</v>
      </c>
      <c r="I65" s="75">
        <v>39903</v>
      </c>
      <c r="J65" s="75">
        <v>39916</v>
      </c>
      <c r="K65" s="71"/>
      <c r="L65" s="76"/>
    </row>
    <row r="66" spans="1:12">
      <c r="A66" s="71" t="s">
        <v>4206</v>
      </c>
      <c r="B66" s="71" t="s">
        <v>4069</v>
      </c>
      <c r="C66" s="71" t="s">
        <v>4207</v>
      </c>
      <c r="D66" s="71" t="s">
        <v>4208</v>
      </c>
      <c r="E66" s="72"/>
      <c r="F66" s="73">
        <v>39448</v>
      </c>
      <c r="G66" s="74"/>
      <c r="H66" s="71"/>
      <c r="I66" s="71"/>
      <c r="J66" s="71"/>
      <c r="K66" s="71"/>
      <c r="L66" s="76"/>
    </row>
    <row r="67" spans="1:12">
      <c r="A67" s="71" t="s">
        <v>4209</v>
      </c>
      <c r="B67" s="71" t="s">
        <v>4062</v>
      </c>
      <c r="C67" s="71" t="s">
        <v>4210</v>
      </c>
      <c r="D67" s="71" t="s">
        <v>4211</v>
      </c>
      <c r="E67" s="72">
        <v>317500</v>
      </c>
      <c r="F67" s="73">
        <v>39730</v>
      </c>
      <c r="G67" s="74">
        <v>39772</v>
      </c>
      <c r="H67" s="75">
        <v>39791</v>
      </c>
      <c r="I67" s="71"/>
      <c r="J67" s="71"/>
      <c r="K67" s="71"/>
      <c r="L67" s="76"/>
    </row>
    <row r="68" spans="1:12">
      <c r="A68" s="71" t="s">
        <v>4212</v>
      </c>
      <c r="B68" s="71" t="s">
        <v>4069</v>
      </c>
      <c r="C68" s="71" t="s">
        <v>4213</v>
      </c>
      <c r="D68" s="71" t="s">
        <v>4214</v>
      </c>
      <c r="E68" s="72">
        <v>237180.85</v>
      </c>
      <c r="F68" s="73">
        <v>39722</v>
      </c>
      <c r="G68" s="74">
        <v>39770</v>
      </c>
      <c r="H68" s="75">
        <v>39755</v>
      </c>
      <c r="I68" s="75">
        <v>40014</v>
      </c>
      <c r="J68" s="75">
        <v>40022</v>
      </c>
      <c r="K68" s="71" t="s">
        <v>4079</v>
      </c>
      <c r="L68" s="76"/>
    </row>
    <row r="69" spans="1:12">
      <c r="A69" s="71" t="s">
        <v>4215</v>
      </c>
      <c r="B69" s="71" t="s">
        <v>4216</v>
      </c>
      <c r="C69" s="71" t="s">
        <v>4193</v>
      </c>
      <c r="D69" s="71" t="s">
        <v>4217</v>
      </c>
      <c r="E69" s="72">
        <v>42470</v>
      </c>
      <c r="F69" s="73">
        <v>39751</v>
      </c>
      <c r="G69" s="74">
        <v>39762</v>
      </c>
      <c r="H69" s="75">
        <v>39791</v>
      </c>
      <c r="I69" s="71"/>
      <c r="J69" s="71"/>
      <c r="K69" s="71"/>
      <c r="L69" s="76"/>
    </row>
    <row r="70" spans="1:12">
      <c r="A70" s="71" t="s">
        <v>4218</v>
      </c>
      <c r="B70" s="71" t="s">
        <v>4089</v>
      </c>
      <c r="C70" s="71" t="s">
        <v>4171</v>
      </c>
      <c r="D70" s="71" t="s">
        <v>4219</v>
      </c>
      <c r="E70" s="72">
        <v>8802727</v>
      </c>
      <c r="F70" s="73">
        <v>39828</v>
      </c>
      <c r="G70" s="74">
        <v>39861</v>
      </c>
      <c r="H70" s="75">
        <v>39847</v>
      </c>
      <c r="I70" s="71"/>
      <c r="J70" s="71"/>
      <c r="K70" s="71"/>
      <c r="L70" s="76"/>
    </row>
    <row r="71" spans="1:12">
      <c r="A71" s="71" t="s">
        <v>4220</v>
      </c>
      <c r="B71" s="71" t="s">
        <v>4062</v>
      </c>
      <c r="C71" s="71" t="s">
        <v>4183</v>
      </c>
      <c r="D71" s="71" t="s">
        <v>4221</v>
      </c>
      <c r="E71" s="72">
        <v>1765610</v>
      </c>
      <c r="F71" s="73">
        <v>39764</v>
      </c>
      <c r="G71" s="74">
        <v>39915</v>
      </c>
      <c r="H71" s="75">
        <v>39791</v>
      </c>
      <c r="I71" s="71"/>
      <c r="J71" s="71"/>
      <c r="K71" s="71"/>
      <c r="L71" s="76"/>
    </row>
    <row r="72" spans="1:12">
      <c r="A72" s="71" t="s">
        <v>4222</v>
      </c>
      <c r="B72" s="71" t="s">
        <v>4062</v>
      </c>
      <c r="C72" s="71" t="s">
        <v>4109</v>
      </c>
      <c r="D72" s="71" t="s">
        <v>4223</v>
      </c>
      <c r="E72" s="72">
        <v>1739000</v>
      </c>
      <c r="F72" s="73">
        <v>39764</v>
      </c>
      <c r="G72" s="74">
        <v>39915</v>
      </c>
      <c r="H72" s="75">
        <v>39791</v>
      </c>
      <c r="I72" s="71"/>
      <c r="J72" s="71"/>
      <c r="K72" s="71"/>
      <c r="L72" s="76"/>
    </row>
    <row r="73" spans="1:12">
      <c r="A73" s="71" t="s">
        <v>4224</v>
      </c>
      <c r="B73" s="71" t="s">
        <v>4069</v>
      </c>
      <c r="C73" s="71" t="s">
        <v>4225</v>
      </c>
      <c r="D73" s="71" t="s">
        <v>4226</v>
      </c>
      <c r="E73" s="72">
        <v>1334342.92</v>
      </c>
      <c r="F73" s="73">
        <v>39744</v>
      </c>
      <c r="G73" s="74">
        <v>40116</v>
      </c>
      <c r="H73" s="75">
        <v>40116</v>
      </c>
      <c r="I73" s="75">
        <v>40019</v>
      </c>
      <c r="J73" s="75">
        <v>40122</v>
      </c>
      <c r="K73" s="71" t="s">
        <v>4079</v>
      </c>
      <c r="L73" s="76"/>
    </row>
    <row r="74" spans="1:12">
      <c r="A74" s="71" t="s">
        <v>4227</v>
      </c>
      <c r="B74" s="71" t="s">
        <v>4069</v>
      </c>
      <c r="C74" s="71" t="s">
        <v>4228</v>
      </c>
      <c r="D74" s="71" t="s">
        <v>4229</v>
      </c>
      <c r="E74" s="72">
        <v>1824348.06</v>
      </c>
      <c r="F74" s="73">
        <v>39753</v>
      </c>
      <c r="G74" s="74">
        <v>40043</v>
      </c>
      <c r="H74" s="75">
        <v>40044</v>
      </c>
      <c r="I74" s="75">
        <v>40317</v>
      </c>
      <c r="J74" s="75">
        <v>40315</v>
      </c>
      <c r="K74" s="71" t="s">
        <v>4079</v>
      </c>
      <c r="L74" s="76"/>
    </row>
    <row r="75" spans="1:12">
      <c r="A75" s="79">
        <v>39722</v>
      </c>
      <c r="B75" s="71"/>
      <c r="C75" s="71"/>
      <c r="D75" s="71"/>
      <c r="E75" s="72"/>
      <c r="F75" s="73"/>
      <c r="G75" s="74"/>
      <c r="H75" s="71"/>
      <c r="I75" s="71"/>
      <c r="J75" s="71"/>
      <c r="K75" s="71"/>
      <c r="L75" s="76"/>
    </row>
    <row r="76" spans="1:12" ht="22.5">
      <c r="A76" s="85" t="s">
        <v>4230</v>
      </c>
      <c r="B76" s="71" t="s">
        <v>4231</v>
      </c>
      <c r="C76" s="71" t="s">
        <v>4232</v>
      </c>
      <c r="D76" s="71" t="s">
        <v>4233</v>
      </c>
      <c r="E76" s="72">
        <v>4000000</v>
      </c>
      <c r="F76" s="73">
        <v>39726</v>
      </c>
      <c r="G76" s="74">
        <v>39766</v>
      </c>
      <c r="H76" s="75">
        <v>39849</v>
      </c>
      <c r="I76" s="71"/>
      <c r="J76" s="71"/>
      <c r="K76" s="71"/>
      <c r="L76" s="76"/>
    </row>
    <row r="77" spans="1:12">
      <c r="A77" s="85" t="s">
        <v>4234</v>
      </c>
      <c r="B77" s="71" t="s">
        <v>4066</v>
      </c>
      <c r="C77" s="71" t="s">
        <v>4049</v>
      </c>
      <c r="D77" s="71" t="s">
        <v>4067</v>
      </c>
      <c r="E77" s="72"/>
      <c r="F77" s="73">
        <v>39965</v>
      </c>
      <c r="G77" s="74"/>
      <c r="H77" s="71"/>
      <c r="I77" s="71"/>
      <c r="J77" s="71"/>
      <c r="K77" s="71" t="s">
        <v>4049</v>
      </c>
      <c r="L77" s="76"/>
    </row>
    <row r="78" spans="1:12">
      <c r="A78" s="85" t="s">
        <v>4235</v>
      </c>
      <c r="B78" s="71" t="s">
        <v>4062</v>
      </c>
      <c r="C78" s="71" t="s">
        <v>4171</v>
      </c>
      <c r="D78" s="71" t="s">
        <v>4236</v>
      </c>
      <c r="E78" s="72">
        <v>1443443</v>
      </c>
      <c r="F78" s="73">
        <v>39750</v>
      </c>
      <c r="G78" s="74">
        <v>39758</v>
      </c>
      <c r="H78" s="75">
        <v>39776</v>
      </c>
      <c r="I78" s="71"/>
      <c r="J78" s="71"/>
      <c r="K78" s="71"/>
      <c r="L78" s="76"/>
    </row>
    <row r="79" spans="1:12">
      <c r="A79" s="85" t="s">
        <v>4237</v>
      </c>
      <c r="B79" s="71" t="s">
        <v>4133</v>
      </c>
      <c r="C79" s="71" t="s">
        <v>4238</v>
      </c>
      <c r="D79" s="71" t="s">
        <v>4239</v>
      </c>
      <c r="E79" s="72">
        <v>3581660</v>
      </c>
      <c r="F79" s="73">
        <v>39799</v>
      </c>
      <c r="G79" s="74">
        <v>40093</v>
      </c>
      <c r="H79" s="75">
        <v>40162</v>
      </c>
      <c r="I79" s="71"/>
      <c r="J79" s="71"/>
      <c r="K79" s="71"/>
      <c r="L79" s="76"/>
    </row>
    <row r="80" spans="1:12">
      <c r="A80" s="85" t="s">
        <v>4240</v>
      </c>
      <c r="B80" s="71" t="s">
        <v>4062</v>
      </c>
      <c r="C80" s="71" t="s">
        <v>4241</v>
      </c>
      <c r="D80" s="71" t="s">
        <v>4242</v>
      </c>
      <c r="E80" s="72"/>
      <c r="F80" s="73">
        <v>39750</v>
      </c>
      <c r="G80" s="74"/>
      <c r="H80" s="71"/>
      <c r="I80" s="71"/>
      <c r="J80" s="71"/>
      <c r="K80" s="71" t="s">
        <v>4049</v>
      </c>
      <c r="L80" s="76"/>
    </row>
    <row r="81" spans="1:12">
      <c r="A81" s="85" t="s">
        <v>4243</v>
      </c>
      <c r="B81" s="71" t="s">
        <v>4062</v>
      </c>
      <c r="C81" s="71" t="s">
        <v>4244</v>
      </c>
      <c r="D81" s="71" t="s">
        <v>4245</v>
      </c>
      <c r="E81" s="72">
        <v>2198000</v>
      </c>
      <c r="F81" s="73">
        <v>39785</v>
      </c>
      <c r="G81" s="74">
        <v>39821</v>
      </c>
      <c r="H81" s="75">
        <v>39794</v>
      </c>
      <c r="I81" s="71"/>
      <c r="J81" s="71"/>
      <c r="K81" s="71"/>
      <c r="L81" s="76"/>
    </row>
    <row r="82" spans="1:12">
      <c r="A82" s="85" t="s">
        <v>4246</v>
      </c>
      <c r="B82" s="71" t="s">
        <v>4089</v>
      </c>
      <c r="C82" s="71" t="s">
        <v>4247</v>
      </c>
      <c r="D82" s="71" t="s">
        <v>4248</v>
      </c>
      <c r="E82" s="72">
        <v>1596308</v>
      </c>
      <c r="F82" s="73">
        <v>39804</v>
      </c>
      <c r="G82" s="74">
        <v>39847</v>
      </c>
      <c r="H82" s="75">
        <v>39855</v>
      </c>
      <c r="I82" s="75">
        <v>39576</v>
      </c>
      <c r="J82" s="75">
        <v>40294</v>
      </c>
      <c r="K82" s="71" t="s">
        <v>4079</v>
      </c>
      <c r="L82" s="76"/>
    </row>
    <row r="83" spans="1:12">
      <c r="A83" s="85" t="s">
        <v>4249</v>
      </c>
      <c r="B83" s="71" t="s">
        <v>4062</v>
      </c>
      <c r="C83" s="71" t="s">
        <v>4084</v>
      </c>
      <c r="D83" s="71" t="s">
        <v>4250</v>
      </c>
      <c r="E83" s="72">
        <v>689000</v>
      </c>
      <c r="F83" s="73">
        <v>39764</v>
      </c>
      <c r="G83" s="74">
        <v>39793</v>
      </c>
      <c r="H83" s="75">
        <v>39794</v>
      </c>
      <c r="I83" s="71"/>
      <c r="J83" s="71"/>
      <c r="K83" s="71"/>
      <c r="L83" s="76"/>
    </row>
    <row r="84" spans="1:12">
      <c r="A84" s="85" t="s">
        <v>4251</v>
      </c>
      <c r="B84" s="71" t="s">
        <v>4216</v>
      </c>
      <c r="C84" s="71" t="s">
        <v>4252</v>
      </c>
      <c r="D84" s="71" t="s">
        <v>4253</v>
      </c>
      <c r="E84" s="72">
        <v>40400</v>
      </c>
      <c r="F84" s="73">
        <v>39751</v>
      </c>
      <c r="G84" s="74">
        <v>39762</v>
      </c>
      <c r="H84" s="75">
        <v>39759</v>
      </c>
      <c r="I84" s="71"/>
      <c r="J84" s="71"/>
      <c r="K84" s="71"/>
      <c r="L84" s="76"/>
    </row>
    <row r="85" spans="1:12">
      <c r="A85" s="85" t="s">
        <v>4254</v>
      </c>
      <c r="B85" s="71" t="s">
        <v>3481</v>
      </c>
      <c r="C85" s="71" t="s">
        <v>4255</v>
      </c>
      <c r="D85" s="71" t="s">
        <v>4256</v>
      </c>
      <c r="E85" s="72">
        <v>960103.6</v>
      </c>
      <c r="F85" s="73">
        <v>39926</v>
      </c>
      <c r="G85" s="74">
        <v>39955</v>
      </c>
      <c r="H85" s="75">
        <v>39960</v>
      </c>
      <c r="I85" s="75">
        <v>40371</v>
      </c>
      <c r="J85" s="75">
        <v>40373</v>
      </c>
      <c r="K85" s="71" t="s">
        <v>4079</v>
      </c>
      <c r="L85" s="76"/>
    </row>
    <row r="86" spans="1:12">
      <c r="A86" s="85" t="s">
        <v>4257</v>
      </c>
      <c r="B86" s="71" t="s">
        <v>3481</v>
      </c>
      <c r="C86" s="71" t="s">
        <v>4258</v>
      </c>
      <c r="D86" s="71" t="s">
        <v>4259</v>
      </c>
      <c r="E86" s="72"/>
      <c r="F86" s="73">
        <v>39765</v>
      </c>
      <c r="G86" s="74"/>
      <c r="H86" s="71"/>
      <c r="I86" s="71"/>
      <c r="J86" s="71"/>
      <c r="K86" s="71"/>
      <c r="L86" s="76"/>
    </row>
    <row r="87" spans="1:12">
      <c r="A87" s="85" t="s">
        <v>4260</v>
      </c>
      <c r="B87" s="71" t="s">
        <v>4066</v>
      </c>
      <c r="C87" s="71" t="s">
        <v>4261</v>
      </c>
      <c r="D87" s="71" t="s">
        <v>4262</v>
      </c>
      <c r="E87" s="72">
        <v>416200</v>
      </c>
      <c r="F87" s="73">
        <v>39996</v>
      </c>
      <c r="G87" s="74">
        <v>40016</v>
      </c>
      <c r="H87" s="75">
        <v>40036</v>
      </c>
      <c r="I87" s="75">
        <v>40420</v>
      </c>
      <c r="J87" s="75">
        <v>40422</v>
      </c>
      <c r="K87" s="71" t="s">
        <v>4079</v>
      </c>
      <c r="L87" s="76"/>
    </row>
    <row r="88" spans="1:12">
      <c r="A88" s="85" t="s">
        <v>4263</v>
      </c>
      <c r="B88" s="71" t="s">
        <v>4264</v>
      </c>
      <c r="C88" s="71" t="s">
        <v>4265</v>
      </c>
      <c r="D88" s="71" t="s">
        <v>4266</v>
      </c>
      <c r="E88" s="72">
        <v>262777</v>
      </c>
      <c r="F88" s="73">
        <v>39755</v>
      </c>
      <c r="G88" s="74">
        <v>39833</v>
      </c>
      <c r="H88" s="71" t="s">
        <v>4267</v>
      </c>
      <c r="I88" s="75">
        <v>39972</v>
      </c>
      <c r="J88" s="75">
        <v>40046</v>
      </c>
      <c r="K88" s="71" t="s">
        <v>4079</v>
      </c>
      <c r="L88" s="76"/>
    </row>
    <row r="89" spans="1:12">
      <c r="A89" s="85" t="s">
        <v>4268</v>
      </c>
      <c r="B89" s="71" t="s">
        <v>4264</v>
      </c>
      <c r="C89" s="71" t="s">
        <v>4241</v>
      </c>
      <c r="D89" s="71" t="s">
        <v>4269</v>
      </c>
      <c r="E89" s="72"/>
      <c r="F89" s="73">
        <v>39755</v>
      </c>
      <c r="G89" s="74"/>
      <c r="H89" s="71"/>
      <c r="I89" s="71"/>
      <c r="J89" s="71"/>
      <c r="K89" s="71" t="s">
        <v>4049</v>
      </c>
      <c r="L89" s="76"/>
    </row>
    <row r="90" spans="1:12">
      <c r="A90" s="85" t="s">
        <v>4270</v>
      </c>
      <c r="B90" s="71" t="s">
        <v>4062</v>
      </c>
      <c r="C90" s="71" t="s">
        <v>4241</v>
      </c>
      <c r="D90" s="71" t="s">
        <v>4271</v>
      </c>
      <c r="E90" s="72"/>
      <c r="F90" s="73">
        <v>39751</v>
      </c>
      <c r="G90" s="74"/>
      <c r="H90" s="71"/>
      <c r="I90" s="71"/>
      <c r="J90" s="71"/>
      <c r="K90" s="71" t="s">
        <v>4049</v>
      </c>
      <c r="L90" s="76"/>
    </row>
    <row r="91" spans="1:12">
      <c r="A91" s="85" t="s">
        <v>4272</v>
      </c>
      <c r="B91" s="71" t="s">
        <v>4273</v>
      </c>
      <c r="C91" s="71" t="s">
        <v>4274</v>
      </c>
      <c r="D91" s="71" t="s">
        <v>4275</v>
      </c>
      <c r="E91" s="72">
        <v>97083</v>
      </c>
      <c r="F91" s="73">
        <v>39834</v>
      </c>
      <c r="G91" s="74">
        <v>39869</v>
      </c>
      <c r="H91" s="75">
        <v>39919</v>
      </c>
      <c r="I91" s="71"/>
      <c r="J91" s="71"/>
      <c r="K91" s="71"/>
      <c r="L91" s="76"/>
    </row>
    <row r="92" spans="1:12">
      <c r="A92" s="85" t="s">
        <v>4276</v>
      </c>
      <c r="B92" s="71" t="s">
        <v>4128</v>
      </c>
      <c r="C92" s="71" t="s">
        <v>4081</v>
      </c>
      <c r="D92" s="71" t="s">
        <v>4277</v>
      </c>
      <c r="E92" s="72">
        <v>5499090</v>
      </c>
      <c r="F92" s="73">
        <v>39835</v>
      </c>
      <c r="G92" s="74">
        <v>39862</v>
      </c>
      <c r="H92" s="75">
        <v>39863</v>
      </c>
      <c r="I92" s="71"/>
      <c r="J92" s="71"/>
      <c r="K92" s="71"/>
      <c r="L92" s="76"/>
    </row>
    <row r="93" spans="1:12">
      <c r="A93" s="85" t="s">
        <v>4278</v>
      </c>
      <c r="B93" s="71" t="s">
        <v>4069</v>
      </c>
      <c r="C93" s="71" t="s">
        <v>4279</v>
      </c>
      <c r="D93" s="71" t="s">
        <v>4280</v>
      </c>
      <c r="E93" s="72">
        <v>1815525</v>
      </c>
      <c r="F93" s="73">
        <v>39737</v>
      </c>
      <c r="G93" s="74">
        <v>39756</v>
      </c>
      <c r="H93" s="75">
        <v>39757</v>
      </c>
      <c r="I93" s="75">
        <v>40023</v>
      </c>
      <c r="J93" s="75">
        <v>40037</v>
      </c>
      <c r="K93" s="71" t="s">
        <v>4079</v>
      </c>
      <c r="L93" s="76"/>
    </row>
    <row r="94" spans="1:12">
      <c r="A94" s="85" t="s">
        <v>4281</v>
      </c>
      <c r="B94" s="71" t="s">
        <v>4282</v>
      </c>
      <c r="C94" s="71" t="s">
        <v>4049</v>
      </c>
      <c r="D94" s="71" t="s">
        <v>4283</v>
      </c>
      <c r="E94" s="72"/>
      <c r="F94" s="73">
        <v>39777</v>
      </c>
      <c r="G94" s="74"/>
      <c r="H94" s="71"/>
      <c r="I94" s="71"/>
      <c r="J94" s="71"/>
      <c r="K94" s="71" t="s">
        <v>4049</v>
      </c>
      <c r="L94" s="76"/>
    </row>
    <row r="95" spans="1:12">
      <c r="A95" s="85" t="s">
        <v>4284</v>
      </c>
      <c r="B95" s="71" t="s">
        <v>3481</v>
      </c>
      <c r="C95" s="71" t="s">
        <v>4049</v>
      </c>
      <c r="D95" s="71" t="s">
        <v>4285</v>
      </c>
      <c r="E95" s="72"/>
      <c r="F95" s="73">
        <v>39692</v>
      </c>
      <c r="G95" s="74"/>
      <c r="H95" s="71"/>
      <c r="I95" s="71"/>
      <c r="J95" s="71"/>
      <c r="K95" s="71" t="s">
        <v>4049</v>
      </c>
      <c r="L95" s="76"/>
    </row>
    <row r="96" spans="1:12" ht="22.5">
      <c r="A96" s="85" t="s">
        <v>4286</v>
      </c>
      <c r="B96" s="71" t="s">
        <v>4137</v>
      </c>
      <c r="C96" s="71" t="s">
        <v>4232</v>
      </c>
      <c r="D96" s="71" t="s">
        <v>4287</v>
      </c>
      <c r="E96" s="72">
        <v>4319454</v>
      </c>
      <c r="F96" s="73">
        <v>39735</v>
      </c>
      <c r="G96" s="74">
        <v>39819</v>
      </c>
      <c r="H96" s="75">
        <v>39903</v>
      </c>
      <c r="I96" s="71"/>
      <c r="J96" s="71"/>
      <c r="K96" s="71"/>
      <c r="L96" s="76"/>
    </row>
    <row r="97" spans="1:12">
      <c r="A97" s="85" t="s">
        <v>4288</v>
      </c>
      <c r="B97" s="71" t="s">
        <v>4062</v>
      </c>
      <c r="C97" s="71" t="s">
        <v>4289</v>
      </c>
      <c r="D97" s="71" t="s">
        <v>4290</v>
      </c>
      <c r="E97" s="72">
        <v>869700</v>
      </c>
      <c r="F97" s="73">
        <v>39856</v>
      </c>
      <c r="G97" s="74">
        <v>39884</v>
      </c>
      <c r="H97" s="75">
        <v>39885</v>
      </c>
      <c r="I97" s="71"/>
      <c r="J97" s="71"/>
      <c r="K97" s="71"/>
      <c r="L97" s="76"/>
    </row>
    <row r="98" spans="1:12">
      <c r="A98" s="85" t="s">
        <v>4291</v>
      </c>
      <c r="B98" s="71" t="s">
        <v>4062</v>
      </c>
      <c r="C98" s="71" t="s">
        <v>4187</v>
      </c>
      <c r="D98" s="71" t="s">
        <v>4292</v>
      </c>
      <c r="E98" s="72">
        <v>376000</v>
      </c>
      <c r="F98" s="73">
        <v>39616</v>
      </c>
      <c r="G98" s="74">
        <v>39947</v>
      </c>
      <c r="H98" s="75">
        <v>39948</v>
      </c>
      <c r="I98" s="71"/>
      <c r="J98" s="71"/>
      <c r="K98" s="71"/>
      <c r="L98" s="76"/>
    </row>
    <row r="99" spans="1:12">
      <c r="A99" s="85" t="s">
        <v>4293</v>
      </c>
      <c r="B99" s="71" t="s">
        <v>4137</v>
      </c>
      <c r="C99" s="71" t="s">
        <v>4294</v>
      </c>
      <c r="D99" s="71" t="s">
        <v>4295</v>
      </c>
      <c r="E99" s="72">
        <v>97300</v>
      </c>
      <c r="F99" s="73">
        <v>39743</v>
      </c>
      <c r="G99" s="74">
        <v>39827</v>
      </c>
      <c r="H99" s="75">
        <v>39834</v>
      </c>
      <c r="I99" s="71"/>
      <c r="J99" s="71"/>
      <c r="K99" s="71"/>
      <c r="L99" s="76"/>
    </row>
    <row r="100" spans="1:12">
      <c r="A100" s="85" t="s">
        <v>4296</v>
      </c>
      <c r="B100" s="71" t="s">
        <v>4062</v>
      </c>
      <c r="C100" s="71" t="s">
        <v>4210</v>
      </c>
      <c r="D100" s="71" t="s">
        <v>4297</v>
      </c>
      <c r="E100" s="72">
        <v>355000</v>
      </c>
      <c r="F100" s="73">
        <v>39771</v>
      </c>
      <c r="G100" s="74">
        <v>39884</v>
      </c>
      <c r="H100" s="75">
        <v>39885</v>
      </c>
      <c r="I100" s="71"/>
      <c r="J100" s="71"/>
      <c r="K100" s="71"/>
      <c r="L100" s="76"/>
    </row>
    <row r="101" spans="1:12">
      <c r="A101" s="85" t="s">
        <v>4298</v>
      </c>
      <c r="B101" s="71" t="s">
        <v>4128</v>
      </c>
      <c r="C101" s="71" t="s">
        <v>4081</v>
      </c>
      <c r="D101" s="71" t="s">
        <v>4299</v>
      </c>
      <c r="E101" s="72">
        <v>388722</v>
      </c>
      <c r="F101" s="73">
        <v>39786</v>
      </c>
      <c r="G101" s="74">
        <v>39799</v>
      </c>
      <c r="H101" s="75">
        <v>39801</v>
      </c>
      <c r="I101" s="71"/>
      <c r="J101" s="71"/>
      <c r="K101" s="71"/>
      <c r="L101" s="76"/>
    </row>
    <row r="102" spans="1:12">
      <c r="A102" s="85" t="s">
        <v>4300</v>
      </c>
      <c r="B102" s="71" t="s">
        <v>4062</v>
      </c>
      <c r="C102" s="71" t="s">
        <v>4301</v>
      </c>
      <c r="D102" s="71" t="s">
        <v>4302</v>
      </c>
      <c r="E102" s="72">
        <v>249500</v>
      </c>
      <c r="F102" s="73">
        <v>39765</v>
      </c>
      <c r="G102" s="74">
        <v>39773</v>
      </c>
      <c r="H102" s="75">
        <v>39773</v>
      </c>
      <c r="I102" s="71"/>
      <c r="J102" s="71"/>
      <c r="K102" s="71"/>
      <c r="L102" s="76"/>
    </row>
    <row r="103" spans="1:12" ht="22.5">
      <c r="A103" s="85" t="s">
        <v>4303</v>
      </c>
      <c r="B103" s="71" t="s">
        <v>3481</v>
      </c>
      <c r="C103" s="71" t="s">
        <v>4129</v>
      </c>
      <c r="D103" s="71" t="s">
        <v>4304</v>
      </c>
      <c r="E103" s="72">
        <v>1055000</v>
      </c>
      <c r="F103" s="73">
        <v>39797</v>
      </c>
      <c r="G103" s="74">
        <v>39833</v>
      </c>
      <c r="H103" s="75">
        <v>39835</v>
      </c>
      <c r="I103" s="75">
        <v>40081</v>
      </c>
      <c r="J103" s="75">
        <v>40142</v>
      </c>
      <c r="K103" s="71" t="s">
        <v>4079</v>
      </c>
      <c r="L103" s="76"/>
    </row>
    <row r="104" spans="1:12">
      <c r="A104" s="85" t="s">
        <v>4305</v>
      </c>
      <c r="B104" s="71" t="s">
        <v>4137</v>
      </c>
      <c r="C104" s="71" t="s">
        <v>4109</v>
      </c>
      <c r="D104" s="71" t="s">
        <v>4306</v>
      </c>
      <c r="E104" s="72">
        <v>695576</v>
      </c>
      <c r="F104" s="73">
        <v>39759</v>
      </c>
      <c r="G104" s="74">
        <v>39777</v>
      </c>
      <c r="H104" s="75">
        <v>39981</v>
      </c>
      <c r="I104" s="75">
        <v>39916</v>
      </c>
      <c r="J104" s="75">
        <v>39979</v>
      </c>
      <c r="K104" s="71" t="s">
        <v>4079</v>
      </c>
      <c r="L104" s="76"/>
    </row>
    <row r="105" spans="1:12" ht="22.5">
      <c r="A105" s="85" t="s">
        <v>4307</v>
      </c>
      <c r="B105" s="71" t="s">
        <v>3481</v>
      </c>
      <c r="C105" s="71" t="s">
        <v>4096</v>
      </c>
      <c r="D105" s="71" t="s">
        <v>4308</v>
      </c>
      <c r="E105" s="72">
        <v>116820814.40000001</v>
      </c>
      <c r="F105" s="73">
        <v>39842</v>
      </c>
      <c r="G105" s="74">
        <v>40015</v>
      </c>
      <c r="H105" s="75">
        <v>40023</v>
      </c>
      <c r="I105" s="71"/>
      <c r="J105" s="71"/>
      <c r="K105" s="71"/>
      <c r="L105" s="76"/>
    </row>
    <row r="106" spans="1:12">
      <c r="A106" s="85" t="s">
        <v>4309</v>
      </c>
      <c r="B106" s="71" t="s">
        <v>4062</v>
      </c>
      <c r="C106" s="71" t="s">
        <v>4310</v>
      </c>
      <c r="D106" s="71" t="s">
        <v>4311</v>
      </c>
      <c r="E106" s="72">
        <v>538470</v>
      </c>
      <c r="F106" s="73">
        <v>39766</v>
      </c>
      <c r="G106" s="74">
        <v>39772</v>
      </c>
      <c r="H106" s="75">
        <v>39776</v>
      </c>
      <c r="I106" s="71"/>
      <c r="J106" s="71"/>
      <c r="K106" s="71"/>
      <c r="L106" s="76"/>
    </row>
    <row r="107" spans="1:12">
      <c r="A107" s="85" t="s">
        <v>4312</v>
      </c>
      <c r="B107" s="71" t="s">
        <v>4062</v>
      </c>
      <c r="C107" s="71" t="s">
        <v>4210</v>
      </c>
      <c r="D107" s="71" t="s">
        <v>4313</v>
      </c>
      <c r="E107" s="72">
        <v>132000</v>
      </c>
      <c r="F107" s="73">
        <v>39778</v>
      </c>
      <c r="G107" s="74">
        <v>39821</v>
      </c>
      <c r="H107" s="75">
        <v>39822</v>
      </c>
      <c r="I107" s="71"/>
      <c r="J107" s="71"/>
      <c r="K107" s="71"/>
      <c r="L107" s="76"/>
    </row>
    <row r="108" spans="1:12">
      <c r="A108" s="85" t="s">
        <v>4314</v>
      </c>
      <c r="B108" s="71" t="s">
        <v>4216</v>
      </c>
      <c r="C108" s="71" t="s">
        <v>4315</v>
      </c>
      <c r="D108" s="71" t="s">
        <v>4316</v>
      </c>
      <c r="E108" s="72"/>
      <c r="F108" s="73">
        <v>39755</v>
      </c>
      <c r="G108" s="74"/>
      <c r="H108" s="71"/>
      <c r="I108" s="71"/>
      <c r="J108" s="71"/>
      <c r="K108" s="71"/>
      <c r="L108" s="76"/>
    </row>
    <row r="109" spans="1:12">
      <c r="A109" s="85" t="s">
        <v>4317</v>
      </c>
      <c r="B109" s="71" t="s">
        <v>4128</v>
      </c>
      <c r="C109" s="71" t="s">
        <v>4318</v>
      </c>
      <c r="D109" s="71" t="s">
        <v>4319</v>
      </c>
      <c r="E109" s="72">
        <v>2734291</v>
      </c>
      <c r="F109" s="73">
        <v>39792</v>
      </c>
      <c r="G109" s="74">
        <v>39820</v>
      </c>
      <c r="H109" s="75">
        <v>39820</v>
      </c>
      <c r="I109" s="71"/>
      <c r="J109" s="71"/>
      <c r="K109" s="71"/>
      <c r="L109" s="76"/>
    </row>
    <row r="110" spans="1:12">
      <c r="A110" s="85" t="s">
        <v>4320</v>
      </c>
      <c r="B110" s="71" t="s">
        <v>3481</v>
      </c>
      <c r="C110" s="71" t="s">
        <v>4321</v>
      </c>
      <c r="D110" s="71" t="s">
        <v>4322</v>
      </c>
      <c r="E110" s="72">
        <v>194920.76</v>
      </c>
      <c r="F110" s="73">
        <v>39797</v>
      </c>
      <c r="G110" s="74">
        <v>39820</v>
      </c>
      <c r="H110" s="75">
        <v>39821</v>
      </c>
      <c r="I110" s="71"/>
      <c r="J110" s="71"/>
      <c r="K110" s="71"/>
      <c r="L110" s="76"/>
    </row>
    <row r="111" spans="1:12">
      <c r="A111" s="85" t="s">
        <v>4323</v>
      </c>
      <c r="B111" s="71" t="s">
        <v>4038</v>
      </c>
      <c r="C111" s="71" t="s">
        <v>4049</v>
      </c>
      <c r="D111" s="71" t="s">
        <v>4324</v>
      </c>
      <c r="E111" s="72"/>
      <c r="F111" s="73">
        <v>39855</v>
      </c>
      <c r="G111" s="74"/>
      <c r="H111" s="71"/>
      <c r="I111" s="71"/>
      <c r="J111" s="71"/>
      <c r="K111" s="71" t="s">
        <v>4049</v>
      </c>
      <c r="L111" s="76"/>
    </row>
    <row r="112" spans="1:12">
      <c r="A112" s="85" t="s">
        <v>4325</v>
      </c>
      <c r="B112" s="71" t="s">
        <v>4186</v>
      </c>
      <c r="C112" s="71" t="s">
        <v>4326</v>
      </c>
      <c r="D112" s="71" t="s">
        <v>4327</v>
      </c>
      <c r="E112" s="72">
        <v>1180000</v>
      </c>
      <c r="F112" s="73">
        <v>39791</v>
      </c>
      <c r="G112" s="74">
        <v>39804</v>
      </c>
      <c r="H112" s="75">
        <v>39822</v>
      </c>
      <c r="I112" s="75">
        <v>40021</v>
      </c>
      <c r="J112" s="75">
        <v>40070</v>
      </c>
      <c r="K112" s="71" t="s">
        <v>4079</v>
      </c>
      <c r="L112" s="76"/>
    </row>
    <row r="113" spans="1:12">
      <c r="A113" s="85" t="s">
        <v>4328</v>
      </c>
      <c r="B113" s="71" t="s">
        <v>4231</v>
      </c>
      <c r="C113" s="71" t="s">
        <v>4329</v>
      </c>
      <c r="D113" s="71" t="s">
        <v>4330</v>
      </c>
      <c r="E113" s="72">
        <v>6000000</v>
      </c>
      <c r="F113" s="73">
        <v>39839</v>
      </c>
      <c r="G113" s="74">
        <v>39842</v>
      </c>
      <c r="H113" s="75">
        <v>39849</v>
      </c>
      <c r="I113" s="71"/>
      <c r="J113" s="71"/>
      <c r="K113" s="71"/>
      <c r="L113" s="76"/>
    </row>
    <row r="114" spans="1:12" ht="22.5">
      <c r="A114" s="85" t="s">
        <v>4331</v>
      </c>
      <c r="B114" s="71" t="s">
        <v>4128</v>
      </c>
      <c r="C114" s="71" t="s">
        <v>4332</v>
      </c>
      <c r="D114" s="71" t="s">
        <v>4333</v>
      </c>
      <c r="E114" s="72">
        <v>40974566.710000001</v>
      </c>
      <c r="F114" s="73">
        <v>39800</v>
      </c>
      <c r="G114" s="74">
        <v>39862</v>
      </c>
      <c r="H114" s="75">
        <v>39862</v>
      </c>
      <c r="I114" s="71"/>
      <c r="J114" s="71"/>
      <c r="K114" s="71"/>
      <c r="L114" s="76"/>
    </row>
    <row r="115" spans="1:12">
      <c r="A115" s="85" t="s">
        <v>4334</v>
      </c>
      <c r="B115" s="71" t="s">
        <v>4066</v>
      </c>
      <c r="C115" s="71" t="s">
        <v>4081</v>
      </c>
      <c r="D115" s="71" t="s">
        <v>4335</v>
      </c>
      <c r="E115" s="72">
        <v>1740415</v>
      </c>
      <c r="F115" s="73">
        <v>39819</v>
      </c>
      <c r="G115" s="74">
        <v>39847</v>
      </c>
      <c r="H115" s="75">
        <v>39849</v>
      </c>
      <c r="I115" s="75">
        <v>40169</v>
      </c>
      <c r="J115" s="75">
        <v>40393</v>
      </c>
      <c r="K115" s="71" t="s">
        <v>4079</v>
      </c>
      <c r="L115" s="76"/>
    </row>
    <row r="116" spans="1:12">
      <c r="A116" s="85" t="s">
        <v>4336</v>
      </c>
      <c r="B116" s="71" t="s">
        <v>4066</v>
      </c>
      <c r="C116" s="71"/>
      <c r="D116" s="71" t="s">
        <v>4337</v>
      </c>
      <c r="E116" s="72">
        <v>730000</v>
      </c>
      <c r="F116" s="73">
        <v>39820</v>
      </c>
      <c r="G116" s="74"/>
      <c r="H116" s="71"/>
      <c r="I116" s="71"/>
      <c r="J116" s="71"/>
      <c r="K116" s="71"/>
      <c r="L116" s="76"/>
    </row>
    <row r="117" spans="1:12">
      <c r="A117" s="85" t="s">
        <v>4338</v>
      </c>
      <c r="B117" s="71" t="s">
        <v>4133</v>
      </c>
      <c r="C117" s="71" t="s">
        <v>4199</v>
      </c>
      <c r="D117" s="71" t="s">
        <v>4339</v>
      </c>
      <c r="E117" s="72">
        <v>332000</v>
      </c>
      <c r="F117" s="73">
        <v>39772</v>
      </c>
      <c r="G117" s="74">
        <v>39820</v>
      </c>
      <c r="H117" s="75">
        <v>39849</v>
      </c>
      <c r="I117" s="71"/>
      <c r="J117" s="71"/>
      <c r="K117" s="71"/>
      <c r="L117" s="76"/>
    </row>
    <row r="118" spans="1:12">
      <c r="A118" s="85" t="s">
        <v>4340</v>
      </c>
      <c r="B118" s="71" t="s">
        <v>4341</v>
      </c>
      <c r="C118" s="71" t="s">
        <v>4310</v>
      </c>
      <c r="D118" s="71" t="s">
        <v>4342</v>
      </c>
      <c r="E118" s="72">
        <v>573121</v>
      </c>
      <c r="F118" s="73">
        <v>39800</v>
      </c>
      <c r="G118" s="74">
        <v>39826</v>
      </c>
      <c r="H118" s="75">
        <v>39827</v>
      </c>
      <c r="I118" s="75">
        <v>40113</v>
      </c>
      <c r="J118" s="75">
        <v>40204</v>
      </c>
      <c r="K118" s="71" t="s">
        <v>4079</v>
      </c>
      <c r="L118" s="76"/>
    </row>
    <row r="119" spans="1:12">
      <c r="A119" s="85" t="s">
        <v>4343</v>
      </c>
      <c r="B119" s="71" t="s">
        <v>4133</v>
      </c>
      <c r="C119" s="71" t="s">
        <v>4134</v>
      </c>
      <c r="D119" s="71" t="s">
        <v>4344</v>
      </c>
      <c r="E119" s="72">
        <v>5444828.1500000004</v>
      </c>
      <c r="F119" s="73">
        <v>39877</v>
      </c>
      <c r="G119" s="74">
        <v>39918</v>
      </c>
      <c r="H119" s="75">
        <v>40025</v>
      </c>
      <c r="I119" s="71"/>
      <c r="J119" s="71"/>
      <c r="K119" s="71"/>
      <c r="L119" s="76"/>
    </row>
    <row r="120" spans="1:12">
      <c r="A120" s="85" t="s">
        <v>4345</v>
      </c>
      <c r="B120" s="71" t="s">
        <v>3481</v>
      </c>
      <c r="C120" s="71" t="s">
        <v>4346</v>
      </c>
      <c r="D120" s="71" t="s">
        <v>4347</v>
      </c>
      <c r="E120" s="72">
        <v>216428</v>
      </c>
      <c r="F120" s="73">
        <v>39792</v>
      </c>
      <c r="G120" s="74">
        <v>39808</v>
      </c>
      <c r="H120" s="75">
        <v>39818</v>
      </c>
      <c r="I120" s="75">
        <v>39897</v>
      </c>
      <c r="J120" s="75">
        <v>40273</v>
      </c>
      <c r="K120" s="71" t="s">
        <v>4079</v>
      </c>
      <c r="L120" s="76"/>
    </row>
    <row r="121" spans="1:12">
      <c r="A121" s="85" t="s">
        <v>4348</v>
      </c>
      <c r="B121" s="71" t="s">
        <v>3481</v>
      </c>
      <c r="C121" s="71" t="s">
        <v>4084</v>
      </c>
      <c r="D121" s="71" t="s">
        <v>4349</v>
      </c>
      <c r="E121" s="72">
        <v>105500</v>
      </c>
      <c r="F121" s="73">
        <v>39792</v>
      </c>
      <c r="G121" s="74">
        <v>39808</v>
      </c>
      <c r="H121" s="75">
        <v>39818</v>
      </c>
      <c r="I121" s="75">
        <v>39910</v>
      </c>
      <c r="J121" s="75">
        <v>40273</v>
      </c>
      <c r="K121" s="71" t="s">
        <v>4079</v>
      </c>
      <c r="L121" s="76"/>
    </row>
    <row r="122" spans="1:12">
      <c r="A122" s="85" t="s">
        <v>4350</v>
      </c>
      <c r="B122" s="71" t="s">
        <v>4186</v>
      </c>
      <c r="C122" s="71" t="s">
        <v>4351</v>
      </c>
      <c r="D122" s="71" t="s">
        <v>4352</v>
      </c>
      <c r="E122" s="72">
        <v>14913728</v>
      </c>
      <c r="F122" s="73">
        <v>39821</v>
      </c>
      <c r="G122" s="74">
        <v>39878</v>
      </c>
      <c r="H122" s="75">
        <v>39882</v>
      </c>
      <c r="I122" s="71"/>
      <c r="J122" s="71"/>
      <c r="K122" s="71"/>
      <c r="L122" s="76"/>
    </row>
    <row r="123" spans="1:12">
      <c r="A123" s="85" t="s">
        <v>4353</v>
      </c>
      <c r="B123" s="71" t="s">
        <v>3481</v>
      </c>
      <c r="C123" s="71" t="s">
        <v>4354</v>
      </c>
      <c r="D123" s="71" t="s">
        <v>4355</v>
      </c>
      <c r="E123" s="72">
        <v>10050947.550000001</v>
      </c>
      <c r="F123" s="73">
        <v>39821</v>
      </c>
      <c r="G123" s="74">
        <v>39938</v>
      </c>
      <c r="H123" s="75">
        <v>39941</v>
      </c>
      <c r="I123" s="71"/>
      <c r="J123" s="71"/>
      <c r="K123" s="71"/>
      <c r="L123" s="76"/>
    </row>
    <row r="124" spans="1:12">
      <c r="A124" s="85" t="s">
        <v>4356</v>
      </c>
      <c r="B124" s="71" t="s">
        <v>4273</v>
      </c>
      <c r="C124" s="71" t="s">
        <v>4096</v>
      </c>
      <c r="D124" s="71" t="s">
        <v>4357</v>
      </c>
      <c r="E124" s="72">
        <v>1293285</v>
      </c>
      <c r="F124" s="73">
        <v>39764</v>
      </c>
      <c r="G124" s="74">
        <v>39798</v>
      </c>
      <c r="H124" s="75">
        <v>39847</v>
      </c>
      <c r="I124" s="75">
        <v>40182</v>
      </c>
      <c r="J124" s="75">
        <v>40295</v>
      </c>
      <c r="K124" s="71" t="s">
        <v>4079</v>
      </c>
      <c r="L124" s="76"/>
    </row>
    <row r="125" spans="1:12">
      <c r="A125" s="85" t="s">
        <v>4358</v>
      </c>
      <c r="B125" s="71" t="s">
        <v>4216</v>
      </c>
      <c r="C125" s="71" t="s">
        <v>4359</v>
      </c>
      <c r="D125" s="71" t="s">
        <v>4360</v>
      </c>
      <c r="E125" s="72">
        <v>194510</v>
      </c>
      <c r="F125" s="73">
        <v>39811</v>
      </c>
      <c r="G125" s="74">
        <v>39847</v>
      </c>
      <c r="H125" s="75">
        <v>39850</v>
      </c>
      <c r="I125" s="71"/>
      <c r="J125" s="71"/>
      <c r="K125" s="71"/>
      <c r="L125" s="76"/>
    </row>
    <row r="126" spans="1:12">
      <c r="A126" s="85" t="s">
        <v>4361</v>
      </c>
      <c r="B126" s="71" t="s">
        <v>3481</v>
      </c>
      <c r="C126" s="71" t="s">
        <v>4362</v>
      </c>
      <c r="D126" s="71" t="s">
        <v>4363</v>
      </c>
      <c r="E126" s="72">
        <v>210000</v>
      </c>
      <c r="F126" s="73">
        <v>39812</v>
      </c>
      <c r="G126" s="74">
        <v>39835</v>
      </c>
      <c r="H126" s="75">
        <v>39836</v>
      </c>
      <c r="I126" s="75">
        <v>39846</v>
      </c>
      <c r="J126" s="75">
        <v>40080</v>
      </c>
      <c r="K126" s="71" t="s">
        <v>4079</v>
      </c>
      <c r="L126" s="76"/>
    </row>
    <row r="127" spans="1:12" ht="22.5">
      <c r="A127" s="85" t="s">
        <v>4364</v>
      </c>
      <c r="B127" s="71" t="s">
        <v>4089</v>
      </c>
      <c r="C127" s="71"/>
      <c r="D127" s="71" t="s">
        <v>4365</v>
      </c>
      <c r="E127" s="72">
        <v>12000000</v>
      </c>
      <c r="F127" s="73">
        <v>39827</v>
      </c>
      <c r="G127" s="74"/>
      <c r="H127" s="71"/>
      <c r="I127" s="71"/>
      <c r="J127" s="71"/>
      <c r="K127" s="71"/>
      <c r="L127" s="76"/>
    </row>
    <row r="128" spans="1:12" ht="22.5">
      <c r="A128" s="85" t="s">
        <v>4366</v>
      </c>
      <c r="B128" s="71" t="s">
        <v>4089</v>
      </c>
      <c r="C128" s="71" t="s">
        <v>4367</v>
      </c>
      <c r="D128" s="71" t="s">
        <v>4368</v>
      </c>
      <c r="E128" s="72">
        <v>2673681.04</v>
      </c>
      <c r="F128" s="73">
        <v>39917</v>
      </c>
      <c r="G128" s="74">
        <v>39966</v>
      </c>
      <c r="H128" s="75">
        <v>39981</v>
      </c>
      <c r="I128" s="71"/>
      <c r="J128" s="71"/>
      <c r="K128" s="71"/>
      <c r="L128" s="76"/>
    </row>
    <row r="129" spans="1:12">
      <c r="A129" s="71" t="s">
        <v>4369</v>
      </c>
      <c r="B129" s="71" t="s">
        <v>4186</v>
      </c>
      <c r="C129" s="71" t="s">
        <v>4370</v>
      </c>
      <c r="D129" s="71" t="s">
        <v>4371</v>
      </c>
      <c r="E129" s="72">
        <v>302060</v>
      </c>
      <c r="F129" s="73">
        <v>39821</v>
      </c>
      <c r="G129" s="74">
        <v>39834</v>
      </c>
      <c r="H129" s="75">
        <v>39840</v>
      </c>
      <c r="I129" s="75">
        <v>39974</v>
      </c>
      <c r="J129" s="75">
        <v>40030</v>
      </c>
      <c r="K129" s="71" t="s">
        <v>4079</v>
      </c>
      <c r="L129" s="76"/>
    </row>
    <row r="130" spans="1:12" ht="22.5">
      <c r="A130" s="71" t="s">
        <v>4372</v>
      </c>
      <c r="B130" s="71" t="s">
        <v>4341</v>
      </c>
      <c r="C130" s="71" t="s">
        <v>4373</v>
      </c>
      <c r="D130" s="71" t="s">
        <v>4374</v>
      </c>
      <c r="E130" s="72">
        <v>475033.15</v>
      </c>
      <c r="F130" s="73">
        <v>39855</v>
      </c>
      <c r="G130" s="74">
        <v>39952</v>
      </c>
      <c r="H130" s="75">
        <v>39981</v>
      </c>
      <c r="I130" s="71"/>
      <c r="J130" s="71"/>
      <c r="K130" s="71"/>
      <c r="L130" s="76"/>
    </row>
    <row r="131" spans="1:12">
      <c r="A131" s="71" t="s">
        <v>4375</v>
      </c>
      <c r="B131" s="71" t="s">
        <v>4038</v>
      </c>
      <c r="C131" s="71" t="s">
        <v>4376</v>
      </c>
      <c r="D131" s="71" t="s">
        <v>4377</v>
      </c>
      <c r="E131" s="72"/>
      <c r="F131" s="73">
        <v>39981</v>
      </c>
      <c r="G131" s="74"/>
      <c r="H131" s="71"/>
      <c r="I131" s="71"/>
      <c r="J131" s="71"/>
      <c r="K131" s="71" t="s">
        <v>4315</v>
      </c>
      <c r="L131" s="76"/>
    </row>
    <row r="132" spans="1:12" ht="22.5">
      <c r="A132" s="71" t="s">
        <v>4378</v>
      </c>
      <c r="B132" s="71" t="s">
        <v>4038</v>
      </c>
      <c r="C132" s="71" t="s">
        <v>4376</v>
      </c>
      <c r="D132" s="71" t="s">
        <v>4379</v>
      </c>
      <c r="E132" s="72"/>
      <c r="F132" s="73">
        <v>39980</v>
      </c>
      <c r="G132" s="74"/>
      <c r="H132" s="71"/>
      <c r="I132" s="71"/>
      <c r="J132" s="71"/>
      <c r="K132" s="71" t="s">
        <v>4315</v>
      </c>
      <c r="L132" s="76"/>
    </row>
    <row r="133" spans="1:12">
      <c r="A133" s="71" t="s">
        <v>4380</v>
      </c>
      <c r="B133" s="71" t="s">
        <v>4038</v>
      </c>
      <c r="C133" s="71" t="s">
        <v>4049</v>
      </c>
      <c r="D133" s="71" t="s">
        <v>4381</v>
      </c>
      <c r="E133" s="72"/>
      <c r="F133" s="73">
        <v>39828</v>
      </c>
      <c r="G133" s="74"/>
      <c r="H133" s="71"/>
      <c r="I133" s="71"/>
      <c r="J133" s="71"/>
      <c r="K133" s="71" t="s">
        <v>4049</v>
      </c>
      <c r="L133" s="76"/>
    </row>
    <row r="134" spans="1:12">
      <c r="A134" s="71" t="s">
        <v>4382</v>
      </c>
      <c r="B134" s="71" t="s">
        <v>3481</v>
      </c>
      <c r="C134" s="71" t="s">
        <v>4315</v>
      </c>
      <c r="D134" s="71" t="s">
        <v>4383</v>
      </c>
      <c r="E134" s="72"/>
      <c r="F134" s="73">
        <v>39783</v>
      </c>
      <c r="G134" s="74"/>
      <c r="H134" s="71"/>
      <c r="I134" s="71"/>
      <c r="J134" s="71"/>
      <c r="K134" s="71"/>
      <c r="L134" s="76"/>
    </row>
    <row r="135" spans="1:12">
      <c r="A135" s="71" t="s">
        <v>4384</v>
      </c>
      <c r="B135" s="71" t="s">
        <v>3481</v>
      </c>
      <c r="C135" s="71" t="s">
        <v>4385</v>
      </c>
      <c r="D135" s="71" t="s">
        <v>4386</v>
      </c>
      <c r="E135" s="72">
        <v>408819.96</v>
      </c>
      <c r="F135" s="73">
        <v>39812</v>
      </c>
      <c r="G135" s="74">
        <v>39835</v>
      </c>
      <c r="H135" s="75">
        <v>39836</v>
      </c>
      <c r="I135" s="75">
        <v>40032</v>
      </c>
      <c r="J135" s="75">
        <v>40185</v>
      </c>
      <c r="K135" s="71" t="s">
        <v>4079</v>
      </c>
      <c r="L135" s="76"/>
    </row>
    <row r="136" spans="1:12">
      <c r="A136" s="71" t="s">
        <v>4387</v>
      </c>
      <c r="B136" s="71" t="s">
        <v>4264</v>
      </c>
      <c r="C136" s="71" t="s">
        <v>4370</v>
      </c>
      <c r="D136" s="71" t="s">
        <v>4388</v>
      </c>
      <c r="E136" s="72">
        <v>182000</v>
      </c>
      <c r="F136" s="73">
        <v>39801</v>
      </c>
      <c r="G136" s="74">
        <v>39881</v>
      </c>
      <c r="H136" s="75">
        <v>39883</v>
      </c>
      <c r="I136" s="75">
        <v>40001</v>
      </c>
      <c r="J136" s="75">
        <v>40053</v>
      </c>
      <c r="K136" s="71" t="s">
        <v>4079</v>
      </c>
      <c r="L136" s="76"/>
    </row>
    <row r="137" spans="1:12">
      <c r="A137" s="71" t="s">
        <v>4389</v>
      </c>
      <c r="B137" s="71" t="s">
        <v>4264</v>
      </c>
      <c r="C137" s="71" t="s">
        <v>4354</v>
      </c>
      <c r="D137" s="71" t="s">
        <v>4390</v>
      </c>
      <c r="E137" s="72">
        <v>596062</v>
      </c>
      <c r="F137" s="73">
        <v>39801</v>
      </c>
      <c r="G137" s="74">
        <v>39898</v>
      </c>
      <c r="H137" s="75">
        <v>39895</v>
      </c>
      <c r="I137" s="75">
        <v>40123</v>
      </c>
      <c r="J137" s="75">
        <v>40238</v>
      </c>
      <c r="K137" s="71" t="s">
        <v>4079</v>
      </c>
      <c r="L137" s="76"/>
    </row>
    <row r="138" spans="1:12">
      <c r="A138" s="71" t="s">
        <v>4391</v>
      </c>
      <c r="B138" s="71" t="s">
        <v>4069</v>
      </c>
      <c r="C138" s="71" t="s">
        <v>4392</v>
      </c>
      <c r="D138" s="71" t="s">
        <v>4393</v>
      </c>
      <c r="E138" s="72"/>
      <c r="F138" s="73">
        <v>39820</v>
      </c>
      <c r="G138" s="74"/>
      <c r="H138" s="71"/>
      <c r="I138" s="71"/>
      <c r="J138" s="71"/>
      <c r="K138" s="71"/>
      <c r="L138" s="76"/>
    </row>
    <row r="139" spans="1:12">
      <c r="A139" s="71" t="s">
        <v>4394</v>
      </c>
      <c r="B139" s="71" t="s">
        <v>4066</v>
      </c>
      <c r="C139" s="71" t="s">
        <v>4395</v>
      </c>
      <c r="D139" s="71" t="s">
        <v>4396</v>
      </c>
      <c r="E139" s="72">
        <v>989980</v>
      </c>
      <c r="F139" s="73">
        <v>39897</v>
      </c>
      <c r="G139" s="74">
        <v>39966</v>
      </c>
      <c r="H139" s="75">
        <v>39969</v>
      </c>
      <c r="I139" s="71"/>
      <c r="J139" s="71"/>
      <c r="K139" s="71"/>
      <c r="L139" s="76"/>
    </row>
    <row r="140" spans="1:12">
      <c r="A140" s="71" t="s">
        <v>4397</v>
      </c>
      <c r="B140" s="71" t="s">
        <v>4062</v>
      </c>
      <c r="C140" s="71" t="s">
        <v>4090</v>
      </c>
      <c r="D140" s="71" t="s">
        <v>4398</v>
      </c>
      <c r="E140" s="72">
        <v>685000</v>
      </c>
      <c r="F140" s="73">
        <v>39798</v>
      </c>
      <c r="G140" s="74">
        <v>39835</v>
      </c>
      <c r="H140" s="75">
        <v>39839</v>
      </c>
      <c r="I140" s="71"/>
      <c r="J140" s="71"/>
      <c r="K140" s="71"/>
      <c r="L140" s="76"/>
    </row>
    <row r="141" spans="1:12">
      <c r="A141" s="71" t="s">
        <v>4399</v>
      </c>
      <c r="B141" s="71" t="s">
        <v>3481</v>
      </c>
      <c r="C141" s="71" t="s">
        <v>4400</v>
      </c>
      <c r="D141" s="71" t="s">
        <v>4401</v>
      </c>
      <c r="E141" s="72"/>
      <c r="F141" s="73">
        <v>39783</v>
      </c>
      <c r="G141" s="74"/>
      <c r="H141" s="71"/>
      <c r="I141" s="71"/>
      <c r="J141" s="71"/>
      <c r="K141" s="71" t="s">
        <v>4049</v>
      </c>
      <c r="L141" s="76"/>
    </row>
    <row r="142" spans="1:12">
      <c r="A142" s="71" t="s">
        <v>4402</v>
      </c>
      <c r="B142" s="71" t="s">
        <v>4128</v>
      </c>
      <c r="C142" s="71" t="s">
        <v>4403</v>
      </c>
      <c r="D142" s="71" t="s">
        <v>4404</v>
      </c>
      <c r="E142" s="72">
        <v>11512000</v>
      </c>
      <c r="F142" s="73">
        <v>39849</v>
      </c>
      <c r="G142" s="74">
        <v>39995</v>
      </c>
      <c r="H142" s="75">
        <v>40003</v>
      </c>
      <c r="I142" s="71"/>
      <c r="J142" s="71"/>
      <c r="K142" s="71"/>
      <c r="L142" s="76"/>
    </row>
    <row r="143" spans="1:12" ht="22.5">
      <c r="A143" s="71" t="s">
        <v>4405</v>
      </c>
      <c r="B143" s="71" t="s">
        <v>3481</v>
      </c>
      <c r="C143" s="71" t="s">
        <v>4406</v>
      </c>
      <c r="D143" s="71" t="s">
        <v>4407</v>
      </c>
      <c r="E143" s="72">
        <v>10524951.24</v>
      </c>
      <c r="F143" s="73">
        <v>39812</v>
      </c>
      <c r="G143" s="74">
        <v>39910</v>
      </c>
      <c r="H143" s="75">
        <v>39913</v>
      </c>
      <c r="I143" s="71"/>
      <c r="J143" s="71"/>
      <c r="K143" s="71"/>
      <c r="L143" s="76"/>
    </row>
    <row r="144" spans="1:12">
      <c r="A144" s="71" t="s">
        <v>4408</v>
      </c>
      <c r="B144" s="71" t="s">
        <v>4341</v>
      </c>
      <c r="C144" s="71" t="s">
        <v>4199</v>
      </c>
      <c r="D144" s="71" t="s">
        <v>4409</v>
      </c>
      <c r="E144" s="72">
        <v>835110</v>
      </c>
      <c r="F144" s="73">
        <v>39730</v>
      </c>
      <c r="G144" s="74">
        <v>39764</v>
      </c>
      <c r="H144" s="75">
        <v>39771</v>
      </c>
      <c r="I144" s="75">
        <v>39945</v>
      </c>
      <c r="J144" s="75">
        <v>40030</v>
      </c>
      <c r="K144" s="71" t="s">
        <v>4079</v>
      </c>
      <c r="L144" s="76"/>
    </row>
    <row r="145" spans="1:12">
      <c r="A145" s="71" t="s">
        <v>4410</v>
      </c>
      <c r="B145" s="71" t="s">
        <v>4411</v>
      </c>
      <c r="C145" s="71" t="s">
        <v>4151</v>
      </c>
      <c r="D145" s="71" t="s">
        <v>4412</v>
      </c>
      <c r="E145" s="72">
        <v>199952</v>
      </c>
      <c r="F145" s="73">
        <v>39800</v>
      </c>
      <c r="G145" s="74">
        <v>39812</v>
      </c>
      <c r="H145" s="75">
        <v>39847</v>
      </c>
      <c r="I145" s="75">
        <v>39934</v>
      </c>
      <c r="J145" s="75">
        <v>39951</v>
      </c>
      <c r="K145" s="71" t="s">
        <v>4079</v>
      </c>
      <c r="L145" s="76"/>
    </row>
    <row r="146" spans="1:12">
      <c r="A146" s="71" t="s">
        <v>4413</v>
      </c>
      <c r="B146" s="71" t="s">
        <v>4341</v>
      </c>
      <c r="C146" s="71" t="s">
        <v>4414</v>
      </c>
      <c r="D146" s="71" t="s">
        <v>4415</v>
      </c>
      <c r="E146" s="72">
        <v>168687.03</v>
      </c>
      <c r="F146" s="73">
        <v>39821</v>
      </c>
      <c r="G146" s="74">
        <v>39854</v>
      </c>
      <c r="H146" s="75">
        <v>39855</v>
      </c>
      <c r="I146" s="75">
        <v>40122</v>
      </c>
      <c r="J146" s="75">
        <v>40150</v>
      </c>
      <c r="K146" s="71" t="s">
        <v>4079</v>
      </c>
      <c r="L146" s="76"/>
    </row>
    <row r="147" spans="1:12">
      <c r="A147" s="71" t="s">
        <v>4416</v>
      </c>
      <c r="B147" s="71" t="s">
        <v>3481</v>
      </c>
      <c r="C147" s="71" t="s">
        <v>4417</v>
      </c>
      <c r="D147" s="71" t="s">
        <v>4418</v>
      </c>
      <c r="E147" s="72">
        <v>919544</v>
      </c>
      <c r="F147" s="73">
        <v>39840</v>
      </c>
      <c r="G147" s="74">
        <v>39867</v>
      </c>
      <c r="H147" s="75">
        <v>39869</v>
      </c>
      <c r="I147" s="75">
        <v>40079</v>
      </c>
      <c r="J147" s="75">
        <v>40205</v>
      </c>
      <c r="K147" s="71" t="s">
        <v>4079</v>
      </c>
      <c r="L147" s="76"/>
    </row>
    <row r="148" spans="1:12">
      <c r="A148" s="71" t="s">
        <v>4419</v>
      </c>
      <c r="B148" s="71" t="s">
        <v>4069</v>
      </c>
      <c r="C148" s="71" t="s">
        <v>4420</v>
      </c>
      <c r="D148" s="71" t="s">
        <v>4421</v>
      </c>
      <c r="E148" s="72">
        <v>669765.12</v>
      </c>
      <c r="F148" s="73">
        <v>39661</v>
      </c>
      <c r="G148" s="74">
        <v>40120</v>
      </c>
      <c r="H148" s="75">
        <v>40119</v>
      </c>
      <c r="I148" s="75">
        <v>40347</v>
      </c>
      <c r="J148" s="75">
        <v>40381</v>
      </c>
      <c r="K148" s="71" t="s">
        <v>4079</v>
      </c>
      <c r="L148" s="76"/>
    </row>
    <row r="149" spans="1:12">
      <c r="A149" s="71" t="s">
        <v>4422</v>
      </c>
      <c r="B149" s="71" t="s">
        <v>4069</v>
      </c>
      <c r="C149" s="71" t="s">
        <v>4423</v>
      </c>
      <c r="D149" s="71" t="s">
        <v>4424</v>
      </c>
      <c r="E149" s="72">
        <v>1864294.3</v>
      </c>
      <c r="F149" s="73">
        <v>39814</v>
      </c>
      <c r="G149" s="74">
        <v>39938</v>
      </c>
      <c r="H149" s="75">
        <v>39972</v>
      </c>
      <c r="I149" s="71"/>
      <c r="J149" s="71"/>
      <c r="K149" s="71"/>
      <c r="L149" s="76"/>
    </row>
    <row r="150" spans="1:12">
      <c r="A150" s="71" t="s">
        <v>4425</v>
      </c>
      <c r="B150" s="71" t="s">
        <v>4426</v>
      </c>
      <c r="C150" s="71" t="s">
        <v>4427</v>
      </c>
      <c r="D150" s="71" t="s">
        <v>4428</v>
      </c>
      <c r="E150" s="72">
        <v>1050505</v>
      </c>
      <c r="F150" s="73">
        <v>39727</v>
      </c>
      <c r="G150" s="74">
        <v>39826</v>
      </c>
      <c r="H150" s="75">
        <v>39834</v>
      </c>
      <c r="I150" s="75">
        <v>40165</v>
      </c>
      <c r="J150" s="75">
        <v>40176</v>
      </c>
      <c r="K150" s="71" t="s">
        <v>4079</v>
      </c>
      <c r="L150" s="76"/>
    </row>
    <row r="151" spans="1:12">
      <c r="A151" s="71" t="s">
        <v>4429</v>
      </c>
      <c r="B151" s="71" t="s">
        <v>4069</v>
      </c>
      <c r="C151" s="71" t="s">
        <v>4420</v>
      </c>
      <c r="D151" s="71" t="s">
        <v>4430</v>
      </c>
      <c r="E151" s="72">
        <v>10000000</v>
      </c>
      <c r="F151" s="73">
        <v>39783</v>
      </c>
      <c r="G151" s="74">
        <v>40007</v>
      </c>
      <c r="H151" s="75"/>
      <c r="I151" s="71"/>
      <c r="J151" s="71"/>
      <c r="K151" s="71"/>
      <c r="L151" s="76"/>
    </row>
    <row r="152" spans="1:12">
      <c r="A152" s="71" t="s">
        <v>4431</v>
      </c>
      <c r="B152" s="71" t="s">
        <v>4069</v>
      </c>
      <c r="C152" s="71" t="s">
        <v>4432</v>
      </c>
      <c r="D152" s="71" t="s">
        <v>4433</v>
      </c>
      <c r="E152" s="72">
        <v>430294.3</v>
      </c>
      <c r="F152" s="73">
        <v>39783</v>
      </c>
      <c r="G152" s="74">
        <v>39825</v>
      </c>
      <c r="H152" s="75">
        <v>39826</v>
      </c>
      <c r="I152" s="75">
        <v>40029</v>
      </c>
      <c r="J152" s="75">
        <v>40084</v>
      </c>
      <c r="K152" s="71" t="s">
        <v>4079</v>
      </c>
      <c r="L152" s="76"/>
    </row>
    <row r="153" spans="1:12">
      <c r="A153" s="71" t="s">
        <v>4434</v>
      </c>
      <c r="B153" s="71" t="s">
        <v>4435</v>
      </c>
      <c r="C153" s="71" t="s">
        <v>4436</v>
      </c>
      <c r="D153" s="71" t="s">
        <v>4437</v>
      </c>
      <c r="E153" s="72">
        <v>130625</v>
      </c>
      <c r="F153" s="73">
        <v>39804</v>
      </c>
      <c r="G153" s="74">
        <v>39815</v>
      </c>
      <c r="H153" s="75">
        <v>39819</v>
      </c>
      <c r="I153" s="71"/>
      <c r="J153" s="71"/>
      <c r="K153" s="71"/>
      <c r="L153" s="76"/>
    </row>
    <row r="154" spans="1:12">
      <c r="A154" s="71" t="s">
        <v>4438</v>
      </c>
      <c r="B154" s="71" t="s">
        <v>4062</v>
      </c>
      <c r="C154" s="71" t="s">
        <v>4439</v>
      </c>
      <c r="D154" s="71" t="s">
        <v>4440</v>
      </c>
      <c r="E154" s="72">
        <v>4168138</v>
      </c>
      <c r="F154" s="73">
        <v>39856</v>
      </c>
      <c r="G154" s="74">
        <v>39926</v>
      </c>
      <c r="H154" s="75">
        <v>39927</v>
      </c>
      <c r="I154" s="71"/>
      <c r="J154" s="71"/>
      <c r="K154" s="71"/>
      <c r="L154" s="76"/>
    </row>
    <row r="155" spans="1:12">
      <c r="A155" s="71" t="s">
        <v>4441</v>
      </c>
      <c r="B155" s="71" t="s">
        <v>4442</v>
      </c>
      <c r="C155" s="71" t="s">
        <v>4443</v>
      </c>
      <c r="D155" s="71" t="s">
        <v>4444</v>
      </c>
      <c r="E155" s="72">
        <v>169600</v>
      </c>
      <c r="F155" s="73">
        <v>39847</v>
      </c>
      <c r="G155" s="74">
        <v>39861</v>
      </c>
      <c r="H155" s="75">
        <v>39896</v>
      </c>
      <c r="I155" s="71"/>
      <c r="J155" s="71"/>
      <c r="K155" s="71"/>
      <c r="L155" s="76"/>
    </row>
    <row r="156" spans="1:12">
      <c r="A156" s="78">
        <v>39790</v>
      </c>
      <c r="B156" s="71"/>
      <c r="C156" s="71"/>
      <c r="D156" s="71"/>
      <c r="E156" s="72"/>
      <c r="F156" s="73"/>
      <c r="G156" s="74"/>
      <c r="H156" s="75"/>
      <c r="I156" s="71"/>
      <c r="J156" s="71"/>
      <c r="K156" s="71"/>
      <c r="L156" s="76"/>
    </row>
    <row r="157" spans="1:12">
      <c r="A157" s="78" t="s">
        <v>4445</v>
      </c>
      <c r="B157" s="71" t="s">
        <v>4056</v>
      </c>
      <c r="C157" s="71" t="s">
        <v>4446</v>
      </c>
      <c r="D157" s="71" t="s">
        <v>4447</v>
      </c>
      <c r="E157" s="72">
        <v>4884795</v>
      </c>
      <c r="F157" s="73">
        <v>40000</v>
      </c>
      <c r="G157" s="74">
        <v>40029</v>
      </c>
      <c r="H157" s="75">
        <v>40036</v>
      </c>
      <c r="I157" s="71"/>
      <c r="J157" s="71"/>
      <c r="K157" s="71"/>
      <c r="L157" s="76"/>
    </row>
    <row r="158" spans="1:12" ht="22.5">
      <c r="A158" s="78" t="s">
        <v>4448</v>
      </c>
      <c r="B158" s="71" t="s">
        <v>4128</v>
      </c>
      <c r="C158" s="71" t="s">
        <v>4449</v>
      </c>
      <c r="D158" s="71" t="s">
        <v>4450</v>
      </c>
      <c r="E158" s="72">
        <v>886288</v>
      </c>
      <c r="F158" s="73">
        <v>39812</v>
      </c>
      <c r="G158" s="74">
        <v>40084</v>
      </c>
      <c r="H158" s="75">
        <v>40084</v>
      </c>
      <c r="I158" s="71"/>
      <c r="J158" s="71"/>
      <c r="K158" s="71"/>
      <c r="L158" s="76"/>
    </row>
    <row r="159" spans="1:12">
      <c r="A159" s="78" t="s">
        <v>4451</v>
      </c>
      <c r="B159" s="71" t="s">
        <v>4231</v>
      </c>
      <c r="C159" s="71" t="s">
        <v>4329</v>
      </c>
      <c r="D159" s="71" t="s">
        <v>4452</v>
      </c>
      <c r="E159" s="72">
        <v>5613000</v>
      </c>
      <c r="F159" s="73">
        <v>39842</v>
      </c>
      <c r="G159" s="74">
        <v>39965</v>
      </c>
      <c r="H159" s="75">
        <v>39966</v>
      </c>
      <c r="I159" s="71"/>
      <c r="J159" s="71"/>
      <c r="K159" s="71"/>
      <c r="L159" s="76"/>
    </row>
    <row r="160" spans="1:12">
      <c r="A160" s="78" t="s">
        <v>4453</v>
      </c>
      <c r="B160" s="71" t="s">
        <v>4062</v>
      </c>
      <c r="C160" s="71" t="s">
        <v>4454</v>
      </c>
      <c r="D160" s="71" t="s">
        <v>4455</v>
      </c>
      <c r="E160" s="72">
        <v>264430</v>
      </c>
      <c r="F160" s="73">
        <v>39798</v>
      </c>
      <c r="G160" s="74">
        <v>39821</v>
      </c>
      <c r="H160" s="75">
        <v>39849</v>
      </c>
      <c r="I160" s="71"/>
      <c r="J160" s="71"/>
      <c r="K160" s="71"/>
      <c r="L160" s="76"/>
    </row>
    <row r="161" spans="1:12">
      <c r="A161" s="78" t="s">
        <v>4456</v>
      </c>
      <c r="B161" s="71" t="s">
        <v>3481</v>
      </c>
      <c r="C161" s="71" t="s">
        <v>4400</v>
      </c>
      <c r="D161" s="71" t="s">
        <v>4457</v>
      </c>
      <c r="E161" s="72"/>
      <c r="F161" s="73">
        <v>39814</v>
      </c>
      <c r="G161" s="74"/>
      <c r="H161" s="75"/>
      <c r="I161" s="71"/>
      <c r="J161" s="71"/>
      <c r="K161" s="71" t="s">
        <v>4049</v>
      </c>
      <c r="L161" s="76"/>
    </row>
    <row r="162" spans="1:12">
      <c r="A162" s="78" t="s">
        <v>4458</v>
      </c>
      <c r="B162" s="71" t="s">
        <v>4062</v>
      </c>
      <c r="C162" s="71" t="s">
        <v>4244</v>
      </c>
      <c r="D162" s="71" t="s">
        <v>4459</v>
      </c>
      <c r="E162" s="72">
        <v>3215000</v>
      </c>
      <c r="F162" s="73">
        <v>39849</v>
      </c>
      <c r="G162" s="74">
        <v>39856</v>
      </c>
      <c r="H162" s="75">
        <v>39857</v>
      </c>
      <c r="I162" s="71"/>
      <c r="J162" s="71"/>
      <c r="K162" s="71"/>
      <c r="L162" s="76"/>
    </row>
    <row r="163" spans="1:12">
      <c r="A163" s="78" t="s">
        <v>4460</v>
      </c>
      <c r="B163" s="71" t="s">
        <v>4062</v>
      </c>
      <c r="C163" s="71" t="s">
        <v>4109</v>
      </c>
      <c r="D163" s="71" t="s">
        <v>4461</v>
      </c>
      <c r="E163" s="72">
        <v>2959000</v>
      </c>
      <c r="F163" s="73">
        <v>39849</v>
      </c>
      <c r="G163" s="74">
        <v>39856</v>
      </c>
      <c r="H163" s="75">
        <v>39857</v>
      </c>
      <c r="I163" s="71"/>
      <c r="J163" s="71"/>
      <c r="K163" s="71"/>
      <c r="L163" s="76"/>
    </row>
    <row r="164" spans="1:12">
      <c r="A164" s="78" t="s">
        <v>4462</v>
      </c>
      <c r="B164" s="71" t="s">
        <v>4463</v>
      </c>
      <c r="C164" s="71" t="s">
        <v>4049</v>
      </c>
      <c r="D164" s="71" t="s">
        <v>4464</v>
      </c>
      <c r="E164" s="72"/>
      <c r="F164" s="73">
        <v>39828</v>
      </c>
      <c r="G164" s="74"/>
      <c r="H164" s="75"/>
      <c r="I164" s="71"/>
      <c r="J164" s="71"/>
      <c r="K164" s="71" t="s">
        <v>4049</v>
      </c>
      <c r="L164" s="76"/>
    </row>
    <row r="165" spans="1:12">
      <c r="A165" s="78" t="s">
        <v>4465</v>
      </c>
      <c r="B165" s="71" t="s">
        <v>4133</v>
      </c>
      <c r="C165" s="71" t="s">
        <v>4466</v>
      </c>
      <c r="D165" s="71" t="s">
        <v>4467</v>
      </c>
      <c r="E165" s="72"/>
      <c r="F165" s="73">
        <v>39965</v>
      </c>
      <c r="G165" s="74"/>
      <c r="H165" s="75"/>
      <c r="I165" s="71"/>
      <c r="J165" s="71"/>
      <c r="K165" s="71"/>
      <c r="L165" s="76"/>
    </row>
    <row r="166" spans="1:12">
      <c r="A166" s="78" t="s">
        <v>4468</v>
      </c>
      <c r="B166" s="71" t="s">
        <v>4341</v>
      </c>
      <c r="C166" s="71" t="s">
        <v>4469</v>
      </c>
      <c r="D166" s="71" t="s">
        <v>4470</v>
      </c>
      <c r="E166" s="72">
        <v>172565</v>
      </c>
      <c r="F166" s="73">
        <v>39828</v>
      </c>
      <c r="G166" s="74">
        <v>39854</v>
      </c>
      <c r="H166" s="75">
        <v>39855</v>
      </c>
      <c r="I166" s="75">
        <v>40036</v>
      </c>
      <c r="J166" s="75">
        <v>40044</v>
      </c>
      <c r="K166" s="71" t="s">
        <v>4079</v>
      </c>
      <c r="L166" s="76"/>
    </row>
    <row r="167" spans="1:12" ht="22.5">
      <c r="A167" s="78" t="s">
        <v>4471</v>
      </c>
      <c r="B167" s="71" t="s">
        <v>4056</v>
      </c>
      <c r="C167" s="71"/>
      <c r="D167" s="71" t="s">
        <v>4472</v>
      </c>
      <c r="E167" s="72">
        <v>100000</v>
      </c>
      <c r="F167" s="73">
        <v>40026</v>
      </c>
      <c r="G167" s="74"/>
      <c r="H167" s="75"/>
      <c r="I167" s="71"/>
      <c r="J167" s="71"/>
      <c r="K167" s="71"/>
      <c r="L167" s="76"/>
    </row>
    <row r="168" spans="1:12">
      <c r="A168" s="78" t="s">
        <v>2544</v>
      </c>
      <c r="B168" s="71" t="s">
        <v>4056</v>
      </c>
      <c r="C168" s="71"/>
      <c r="D168" s="71" t="s">
        <v>2545</v>
      </c>
      <c r="E168" s="72">
        <v>100000</v>
      </c>
      <c r="F168" s="73">
        <v>40057</v>
      </c>
      <c r="G168" s="74"/>
      <c r="H168" s="75"/>
      <c r="I168" s="71"/>
      <c r="J168" s="71"/>
      <c r="K168" s="71"/>
      <c r="L168" s="76"/>
    </row>
    <row r="169" spans="1:12">
      <c r="A169" s="78" t="s">
        <v>2546</v>
      </c>
      <c r="B169" s="71" t="s">
        <v>4056</v>
      </c>
      <c r="C169" s="71" t="s">
        <v>4096</v>
      </c>
      <c r="D169" s="71" t="s">
        <v>2547</v>
      </c>
      <c r="E169" s="72">
        <v>14739086</v>
      </c>
      <c r="F169" s="73">
        <v>39995</v>
      </c>
      <c r="G169" s="74">
        <v>40029</v>
      </c>
      <c r="H169" s="75">
        <v>40036</v>
      </c>
      <c r="I169" s="71"/>
      <c r="J169" s="71"/>
      <c r="K169" s="71"/>
      <c r="L169" s="76"/>
    </row>
    <row r="170" spans="1:12">
      <c r="A170" s="78" t="s">
        <v>2548</v>
      </c>
      <c r="B170" s="71" t="s">
        <v>4062</v>
      </c>
      <c r="C170" s="71" t="s">
        <v>2549</v>
      </c>
      <c r="D170" s="71" t="s">
        <v>2550</v>
      </c>
      <c r="E170" s="72">
        <v>2424000</v>
      </c>
      <c r="F170" s="73">
        <v>39829</v>
      </c>
      <c r="G170" s="74">
        <v>39856</v>
      </c>
      <c r="H170" s="75">
        <v>39857</v>
      </c>
      <c r="I170" s="71"/>
      <c r="J170" s="71"/>
      <c r="K170" s="71"/>
      <c r="L170" s="76"/>
    </row>
    <row r="171" spans="1:12">
      <c r="A171" s="78" t="s">
        <v>2551</v>
      </c>
      <c r="B171" s="71" t="s">
        <v>4069</v>
      </c>
      <c r="C171" s="71" t="s">
        <v>2552</v>
      </c>
      <c r="D171" s="71" t="s">
        <v>2553</v>
      </c>
      <c r="E171" s="72">
        <v>3768848</v>
      </c>
      <c r="F171" s="73">
        <v>39842</v>
      </c>
      <c r="G171" s="74">
        <v>39917</v>
      </c>
      <c r="H171" s="75">
        <v>39902</v>
      </c>
      <c r="I171" s="75">
        <v>40283</v>
      </c>
      <c r="J171" s="75">
        <v>40395</v>
      </c>
      <c r="K171" s="71" t="s">
        <v>4079</v>
      </c>
      <c r="L171" s="76"/>
    </row>
    <row r="172" spans="1:12">
      <c r="A172" s="78" t="s">
        <v>2554</v>
      </c>
      <c r="B172" s="71" t="s">
        <v>4038</v>
      </c>
      <c r="C172" s="71" t="s">
        <v>4049</v>
      </c>
      <c r="D172" s="71" t="s">
        <v>2555</v>
      </c>
      <c r="E172" s="72"/>
      <c r="F172" s="73">
        <v>39891</v>
      </c>
      <c r="G172" s="74"/>
      <c r="H172" s="75"/>
      <c r="I172" s="71"/>
      <c r="J172" s="71"/>
      <c r="K172" s="71" t="s">
        <v>4049</v>
      </c>
      <c r="L172" s="76"/>
    </row>
    <row r="173" spans="1:12">
      <c r="A173" s="78" t="s">
        <v>2556</v>
      </c>
      <c r="B173" s="71" t="s">
        <v>4186</v>
      </c>
      <c r="C173" s="71" t="s">
        <v>4255</v>
      </c>
      <c r="D173" s="71" t="s">
        <v>2557</v>
      </c>
      <c r="E173" s="72">
        <v>723462.87</v>
      </c>
      <c r="F173" s="73">
        <v>39835</v>
      </c>
      <c r="G173" s="74">
        <v>39847</v>
      </c>
      <c r="H173" s="75">
        <v>39847</v>
      </c>
      <c r="I173" s="75">
        <v>39874</v>
      </c>
      <c r="J173" s="75">
        <v>40323</v>
      </c>
      <c r="K173" s="71" t="s">
        <v>4079</v>
      </c>
      <c r="L173" s="76"/>
    </row>
    <row r="174" spans="1:12">
      <c r="A174" s="78" t="s">
        <v>2558</v>
      </c>
      <c r="B174" s="71" t="s">
        <v>4069</v>
      </c>
      <c r="C174" s="71" t="s">
        <v>4427</v>
      </c>
      <c r="D174" s="71" t="s">
        <v>2559</v>
      </c>
      <c r="E174" s="72">
        <v>447447</v>
      </c>
      <c r="F174" s="73">
        <v>39890</v>
      </c>
      <c r="G174" s="74">
        <v>39907</v>
      </c>
      <c r="H174" s="75">
        <v>39923</v>
      </c>
      <c r="I174" s="75">
        <v>40043</v>
      </c>
      <c r="J174" s="75">
        <v>40107</v>
      </c>
      <c r="K174" s="71" t="s">
        <v>4079</v>
      </c>
      <c r="L174" s="76"/>
    </row>
    <row r="175" spans="1:12">
      <c r="A175" s="78" t="s">
        <v>2560</v>
      </c>
      <c r="B175" s="71" t="s">
        <v>4273</v>
      </c>
      <c r="C175" s="71" t="s">
        <v>2561</v>
      </c>
      <c r="D175" s="71" t="s">
        <v>2562</v>
      </c>
      <c r="E175" s="72"/>
      <c r="F175" s="73">
        <v>39821</v>
      </c>
      <c r="G175" s="74"/>
      <c r="H175" s="75"/>
      <c r="I175" s="71"/>
      <c r="J175" s="71"/>
      <c r="K175" s="71" t="s">
        <v>2563</v>
      </c>
      <c r="L175" s="76"/>
    </row>
    <row r="176" spans="1:12" ht="22.5">
      <c r="A176" s="78" t="s">
        <v>2564</v>
      </c>
      <c r="B176" s="71" t="s">
        <v>4069</v>
      </c>
      <c r="C176" s="71" t="s">
        <v>2565</v>
      </c>
      <c r="D176" s="71" t="s">
        <v>2566</v>
      </c>
      <c r="E176" s="72"/>
      <c r="F176" s="73">
        <v>39979</v>
      </c>
      <c r="G176" s="74"/>
      <c r="H176" s="75"/>
      <c r="I176" s="71"/>
      <c r="J176" s="71"/>
      <c r="K176" s="71"/>
      <c r="L176" s="76"/>
    </row>
    <row r="177" spans="1:12">
      <c r="A177" s="78" t="s">
        <v>2567</v>
      </c>
      <c r="B177" s="71" t="s">
        <v>4128</v>
      </c>
      <c r="C177" s="71" t="s">
        <v>4469</v>
      </c>
      <c r="D177" s="71" t="s">
        <v>4509</v>
      </c>
      <c r="E177" s="72">
        <v>426920</v>
      </c>
      <c r="F177" s="73">
        <v>39467</v>
      </c>
      <c r="G177" s="74">
        <v>39853</v>
      </c>
      <c r="H177" s="75">
        <v>39896</v>
      </c>
      <c r="I177" s="71"/>
      <c r="J177" s="71"/>
      <c r="K177" s="71"/>
      <c r="L177" s="76"/>
    </row>
    <row r="178" spans="1:12">
      <c r="A178" s="78" t="s">
        <v>4510</v>
      </c>
      <c r="B178" s="71" t="s">
        <v>4038</v>
      </c>
      <c r="C178" s="71" t="s">
        <v>2561</v>
      </c>
      <c r="D178" s="71" t="s">
        <v>4511</v>
      </c>
      <c r="E178" s="72"/>
      <c r="F178" s="73">
        <v>39891</v>
      </c>
      <c r="G178" s="74"/>
      <c r="H178" s="75"/>
      <c r="I178" s="71"/>
      <c r="J178" s="71"/>
      <c r="K178" s="71" t="s">
        <v>4049</v>
      </c>
      <c r="L178" s="76"/>
    </row>
    <row r="179" spans="1:12">
      <c r="A179" s="78" t="s">
        <v>4512</v>
      </c>
      <c r="B179" s="71" t="s">
        <v>4038</v>
      </c>
      <c r="C179" s="71"/>
      <c r="D179" s="71" t="s">
        <v>4513</v>
      </c>
      <c r="E179" s="72">
        <v>5600000</v>
      </c>
      <c r="F179" s="73">
        <v>39947</v>
      </c>
      <c r="G179" s="74"/>
      <c r="H179" s="75"/>
      <c r="I179" s="71"/>
      <c r="J179" s="71"/>
      <c r="K179" s="71"/>
      <c r="L179" s="76"/>
    </row>
    <row r="180" spans="1:12">
      <c r="A180" s="78" t="s">
        <v>4514</v>
      </c>
      <c r="B180" s="71" t="s">
        <v>4128</v>
      </c>
      <c r="C180" s="71" t="s">
        <v>4515</v>
      </c>
      <c r="D180" s="71" t="s">
        <v>2568</v>
      </c>
      <c r="E180" s="72"/>
      <c r="F180" s="73" t="s">
        <v>2569</v>
      </c>
      <c r="G180" s="74"/>
      <c r="H180" s="75"/>
      <c r="I180" s="71"/>
      <c r="J180" s="71"/>
      <c r="K180" s="71" t="s">
        <v>4049</v>
      </c>
      <c r="L180" s="76"/>
    </row>
    <row r="181" spans="1:12" ht="22.5">
      <c r="A181" s="78" t="s">
        <v>2570</v>
      </c>
      <c r="B181" s="71" t="s">
        <v>4216</v>
      </c>
      <c r="C181" s="71" t="s">
        <v>2571</v>
      </c>
      <c r="D181" s="71" t="s">
        <v>2572</v>
      </c>
      <c r="E181" s="72">
        <v>80642.84</v>
      </c>
      <c r="F181" s="73">
        <v>39836</v>
      </c>
      <c r="G181" s="74">
        <v>39847</v>
      </c>
      <c r="H181" s="75">
        <v>39850</v>
      </c>
      <c r="I181" s="71"/>
      <c r="J181" s="71"/>
      <c r="K181" s="71"/>
      <c r="L181" s="76"/>
    </row>
    <row r="182" spans="1:12">
      <c r="A182" s="78" t="s">
        <v>2573</v>
      </c>
      <c r="B182" s="71" t="s">
        <v>4216</v>
      </c>
      <c r="C182" s="71" t="s">
        <v>2561</v>
      </c>
      <c r="D182" s="71" t="s">
        <v>2574</v>
      </c>
      <c r="E182" s="72"/>
      <c r="F182" s="73">
        <v>39829</v>
      </c>
      <c r="G182" s="74"/>
      <c r="H182" s="75"/>
      <c r="I182" s="71"/>
      <c r="J182" s="71"/>
      <c r="K182" s="71"/>
      <c r="L182" s="76"/>
    </row>
    <row r="183" spans="1:12">
      <c r="A183" s="78" t="s">
        <v>2575</v>
      </c>
      <c r="B183" s="71" t="s">
        <v>4128</v>
      </c>
      <c r="C183" s="71" t="s">
        <v>4255</v>
      </c>
      <c r="D183" s="71" t="s">
        <v>2576</v>
      </c>
      <c r="E183" s="72">
        <v>2019784.5</v>
      </c>
      <c r="F183" s="73">
        <v>39863</v>
      </c>
      <c r="G183" s="74">
        <v>39904</v>
      </c>
      <c r="H183" s="75">
        <v>39905</v>
      </c>
      <c r="I183" s="71"/>
      <c r="J183" s="71"/>
      <c r="K183" s="71"/>
      <c r="L183" s="76"/>
    </row>
    <row r="184" spans="1:12">
      <c r="A184" s="78" t="s">
        <v>2577</v>
      </c>
      <c r="B184" s="71" t="s">
        <v>4062</v>
      </c>
      <c r="C184" s="71" t="s">
        <v>4109</v>
      </c>
      <c r="D184" s="71" t="s">
        <v>2578</v>
      </c>
      <c r="E184" s="72">
        <v>3599000</v>
      </c>
      <c r="F184" s="73">
        <v>39836</v>
      </c>
      <c r="G184" s="74">
        <v>39856</v>
      </c>
      <c r="H184" s="75">
        <v>39857</v>
      </c>
      <c r="I184" s="71"/>
      <c r="J184" s="71"/>
      <c r="K184" s="71"/>
      <c r="L184" s="76"/>
    </row>
    <row r="185" spans="1:12">
      <c r="A185" s="85">
        <v>39814</v>
      </c>
      <c r="B185" s="71"/>
      <c r="C185" s="71"/>
      <c r="D185" s="71"/>
      <c r="E185" s="72"/>
      <c r="F185" s="73"/>
      <c r="G185" s="74"/>
      <c r="H185" s="75"/>
      <c r="I185" s="71"/>
      <c r="J185" s="71"/>
      <c r="K185" s="71"/>
      <c r="L185" s="76"/>
    </row>
    <row r="186" spans="1:12">
      <c r="A186" s="85" t="s">
        <v>2579</v>
      </c>
      <c r="B186" s="71" t="s">
        <v>4128</v>
      </c>
      <c r="C186" s="71"/>
      <c r="D186" s="71" t="s">
        <v>2580</v>
      </c>
      <c r="E186" s="72">
        <v>3100000</v>
      </c>
      <c r="F186" s="73">
        <v>39846</v>
      </c>
      <c r="G186" s="74"/>
      <c r="H186" s="75"/>
      <c r="I186" s="71"/>
      <c r="J186" s="71"/>
      <c r="K186" s="71"/>
      <c r="L186" s="76"/>
    </row>
    <row r="187" spans="1:12">
      <c r="A187" s="85" t="s">
        <v>2581</v>
      </c>
      <c r="B187" s="71" t="s">
        <v>4042</v>
      </c>
      <c r="C187" s="71"/>
      <c r="D187" s="71" t="s">
        <v>2582</v>
      </c>
      <c r="E187" s="72">
        <v>6000000</v>
      </c>
      <c r="F187" s="73">
        <v>39692</v>
      </c>
      <c r="G187" s="74"/>
      <c r="H187" s="75"/>
      <c r="I187" s="71"/>
      <c r="J187" s="71"/>
      <c r="K187" s="71"/>
      <c r="L187" s="76"/>
    </row>
    <row r="188" spans="1:12" ht="22.5">
      <c r="A188" s="85" t="s">
        <v>2583</v>
      </c>
      <c r="B188" s="71" t="s">
        <v>4062</v>
      </c>
      <c r="C188" s="71" t="s">
        <v>2584</v>
      </c>
      <c r="D188" s="71" t="s">
        <v>2585</v>
      </c>
      <c r="E188" s="72">
        <v>130000</v>
      </c>
      <c r="F188" s="73">
        <v>39814</v>
      </c>
      <c r="G188" s="74"/>
      <c r="H188" s="75"/>
      <c r="I188" s="71"/>
      <c r="J188" s="71"/>
      <c r="K188" s="71" t="s">
        <v>4049</v>
      </c>
      <c r="L188" s="76"/>
    </row>
    <row r="189" spans="1:12" ht="22.5">
      <c r="A189" s="85" t="s">
        <v>2586</v>
      </c>
      <c r="B189" s="71" t="s">
        <v>4038</v>
      </c>
      <c r="C189" s="71" t="s">
        <v>2587</v>
      </c>
      <c r="D189" s="71" t="s">
        <v>2588</v>
      </c>
      <c r="E189" s="72">
        <v>293119</v>
      </c>
      <c r="F189" s="73">
        <v>39919</v>
      </c>
      <c r="G189" s="74">
        <v>40094</v>
      </c>
      <c r="H189" s="75">
        <v>40098</v>
      </c>
      <c r="I189" s="75">
        <v>40281</v>
      </c>
      <c r="J189" s="75">
        <v>40301</v>
      </c>
      <c r="K189" s="71" t="s">
        <v>4079</v>
      </c>
      <c r="L189" s="76"/>
    </row>
    <row r="190" spans="1:12">
      <c r="A190" s="85" t="s">
        <v>2589</v>
      </c>
      <c r="B190" s="71" t="s">
        <v>4069</v>
      </c>
      <c r="C190" s="71" t="s">
        <v>4241</v>
      </c>
      <c r="D190" s="71" t="s">
        <v>2590</v>
      </c>
      <c r="E190" s="72">
        <v>10000000</v>
      </c>
      <c r="F190" s="73">
        <v>39783</v>
      </c>
      <c r="G190" s="74"/>
      <c r="H190" s="75"/>
      <c r="I190" s="71"/>
      <c r="J190" s="71"/>
      <c r="K190" s="71" t="s">
        <v>4049</v>
      </c>
      <c r="L190" s="76"/>
    </row>
    <row r="191" spans="1:12" ht="22.5">
      <c r="A191" s="85" t="s">
        <v>2591</v>
      </c>
      <c r="B191" s="71" t="s">
        <v>4066</v>
      </c>
      <c r="C191" s="71" t="s">
        <v>2587</v>
      </c>
      <c r="D191" s="71" t="s">
        <v>2592</v>
      </c>
      <c r="E191" s="72">
        <v>1073836.8600000001</v>
      </c>
      <c r="F191" s="73">
        <v>39863</v>
      </c>
      <c r="G191" s="74">
        <v>39910</v>
      </c>
      <c r="H191" s="75">
        <v>39911</v>
      </c>
      <c r="I191" s="71"/>
      <c r="J191" s="71"/>
      <c r="K191" s="71"/>
      <c r="L191" s="76"/>
    </row>
    <row r="192" spans="1:12">
      <c r="A192" s="85" t="s">
        <v>2593</v>
      </c>
      <c r="B192" s="71" t="s">
        <v>4056</v>
      </c>
      <c r="C192" s="71" t="s">
        <v>2594</v>
      </c>
      <c r="D192" s="71" t="s">
        <v>2595</v>
      </c>
      <c r="E192" s="72">
        <v>1341900000</v>
      </c>
      <c r="F192" s="73">
        <v>39843</v>
      </c>
      <c r="G192" s="74">
        <v>39875</v>
      </c>
      <c r="H192" s="75">
        <v>39965</v>
      </c>
      <c r="I192" s="71"/>
      <c r="J192" s="71"/>
      <c r="K192" s="71"/>
      <c r="L192" s="76"/>
    </row>
    <row r="193" spans="1:12">
      <c r="A193" s="85" t="s">
        <v>2596</v>
      </c>
      <c r="B193" s="71" t="s">
        <v>3481</v>
      </c>
      <c r="C193" s="71" t="s">
        <v>2597</v>
      </c>
      <c r="D193" s="71" t="s">
        <v>2598</v>
      </c>
      <c r="E193" s="72">
        <v>257938</v>
      </c>
      <c r="F193" s="73">
        <v>39868</v>
      </c>
      <c r="G193" s="74">
        <v>39890</v>
      </c>
      <c r="H193" s="75">
        <v>39891</v>
      </c>
      <c r="I193" s="75">
        <v>40038</v>
      </c>
      <c r="J193" s="75">
        <v>40151</v>
      </c>
      <c r="K193" s="71" t="s">
        <v>4079</v>
      </c>
      <c r="L193" s="76"/>
    </row>
    <row r="194" spans="1:12">
      <c r="A194" s="85" t="s">
        <v>2599</v>
      </c>
      <c r="B194" s="71" t="s">
        <v>4216</v>
      </c>
      <c r="C194" s="71" t="s">
        <v>2584</v>
      </c>
      <c r="D194" s="71" t="s">
        <v>2600</v>
      </c>
      <c r="E194" s="72">
        <v>58014</v>
      </c>
      <c r="F194" s="73">
        <v>39857</v>
      </c>
      <c r="G194" s="74"/>
      <c r="H194" s="75"/>
      <c r="I194" s="71"/>
      <c r="J194" s="71"/>
      <c r="K194" s="71"/>
      <c r="L194" s="76"/>
    </row>
    <row r="195" spans="1:12">
      <c r="A195" s="85" t="s">
        <v>2601</v>
      </c>
      <c r="B195" s="71" t="s">
        <v>2602</v>
      </c>
      <c r="C195" s="71" t="s">
        <v>2603</v>
      </c>
      <c r="D195" s="71" t="s">
        <v>2604</v>
      </c>
      <c r="E195" s="72">
        <v>944524</v>
      </c>
      <c r="F195" s="73">
        <v>39898</v>
      </c>
      <c r="G195" s="74">
        <v>39909</v>
      </c>
      <c r="H195" s="75">
        <v>39986</v>
      </c>
      <c r="I195" s="71"/>
      <c r="J195" s="71"/>
      <c r="K195" s="71"/>
      <c r="L195" s="76"/>
    </row>
    <row r="196" spans="1:12" ht="22.5">
      <c r="A196" s="85" t="s">
        <v>2605</v>
      </c>
      <c r="B196" s="71" t="s">
        <v>3481</v>
      </c>
      <c r="C196" s="71" t="s">
        <v>4096</v>
      </c>
      <c r="D196" s="71" t="s">
        <v>2606</v>
      </c>
      <c r="E196" s="72">
        <v>996987.5</v>
      </c>
      <c r="F196" s="73">
        <v>39863</v>
      </c>
      <c r="G196" s="74">
        <v>39889</v>
      </c>
      <c r="H196" s="75">
        <v>39891</v>
      </c>
      <c r="I196" s="75">
        <v>40113</v>
      </c>
      <c r="J196" s="75">
        <v>40133</v>
      </c>
      <c r="K196" s="71" t="s">
        <v>4079</v>
      </c>
      <c r="L196" s="76"/>
    </row>
    <row r="197" spans="1:12">
      <c r="A197" s="85" t="s">
        <v>2607</v>
      </c>
      <c r="B197" s="71" t="s">
        <v>3481</v>
      </c>
      <c r="C197" s="71" t="s">
        <v>2608</v>
      </c>
      <c r="D197" s="71" t="s">
        <v>2609</v>
      </c>
      <c r="E197" s="72">
        <v>780500</v>
      </c>
      <c r="F197" s="73">
        <v>39888</v>
      </c>
      <c r="G197" s="74">
        <v>39924</v>
      </c>
      <c r="H197" s="75">
        <v>39926</v>
      </c>
      <c r="I197" s="75">
        <v>40153</v>
      </c>
      <c r="J197" s="75">
        <v>40115</v>
      </c>
      <c r="K197" s="71" t="s">
        <v>4079</v>
      </c>
      <c r="L197" s="76"/>
    </row>
    <row r="198" spans="1:12">
      <c r="A198" s="85" t="s">
        <v>2610</v>
      </c>
      <c r="B198" s="71" t="s">
        <v>4341</v>
      </c>
      <c r="C198" s="71" t="s">
        <v>2611</v>
      </c>
      <c r="D198" s="71" t="s">
        <v>2612</v>
      </c>
      <c r="E198" s="72">
        <v>96000</v>
      </c>
      <c r="F198" s="73">
        <v>39849</v>
      </c>
      <c r="G198" s="74">
        <v>39868</v>
      </c>
      <c r="H198" s="75">
        <v>39869</v>
      </c>
      <c r="I198" s="71"/>
      <c r="J198" s="71"/>
      <c r="K198" s="71"/>
      <c r="L198" s="76"/>
    </row>
    <row r="199" spans="1:12">
      <c r="A199" s="85" t="s">
        <v>2613</v>
      </c>
      <c r="B199" s="71" t="s">
        <v>3481</v>
      </c>
      <c r="C199" s="71" t="s">
        <v>2614</v>
      </c>
      <c r="D199" s="71" t="s">
        <v>2615</v>
      </c>
      <c r="E199" s="72">
        <v>21228451</v>
      </c>
      <c r="F199" s="73">
        <v>40003</v>
      </c>
      <c r="G199" s="74">
        <v>40029</v>
      </c>
      <c r="H199" s="75">
        <v>40038</v>
      </c>
      <c r="I199" s="71"/>
      <c r="J199" s="71"/>
      <c r="K199" s="71"/>
      <c r="L199" s="76"/>
    </row>
    <row r="200" spans="1:12">
      <c r="A200" s="85" t="s">
        <v>2616</v>
      </c>
      <c r="B200" s="71" t="s">
        <v>4186</v>
      </c>
      <c r="C200" s="71" t="s">
        <v>4400</v>
      </c>
      <c r="D200" s="71" t="s">
        <v>2617</v>
      </c>
      <c r="E200" s="72"/>
      <c r="F200" s="73">
        <v>39847</v>
      </c>
      <c r="G200" s="74" t="s">
        <v>4119</v>
      </c>
      <c r="H200" s="75"/>
      <c r="I200" s="71"/>
      <c r="J200" s="71"/>
      <c r="K200" s="71" t="s">
        <v>4049</v>
      </c>
      <c r="L200" s="76"/>
    </row>
    <row r="201" spans="1:12">
      <c r="A201" s="85" t="s">
        <v>2618</v>
      </c>
      <c r="B201" s="71" t="s">
        <v>4128</v>
      </c>
      <c r="C201" s="71" t="s">
        <v>2619</v>
      </c>
      <c r="D201" s="71" t="s">
        <v>2620</v>
      </c>
      <c r="E201" s="72">
        <v>469962</v>
      </c>
      <c r="F201" s="73">
        <v>39861</v>
      </c>
      <c r="G201" s="74">
        <v>39871</v>
      </c>
      <c r="H201" s="75">
        <v>39876</v>
      </c>
      <c r="I201" s="71"/>
      <c r="J201" s="71"/>
      <c r="K201" s="71"/>
      <c r="L201" s="76"/>
    </row>
    <row r="202" spans="1:12" ht="22.5">
      <c r="A202" s="85" t="s">
        <v>2621</v>
      </c>
      <c r="B202" s="71" t="s">
        <v>4186</v>
      </c>
      <c r="C202" s="71" t="s">
        <v>4232</v>
      </c>
      <c r="D202" s="71" t="s">
        <v>2622</v>
      </c>
      <c r="E202" s="72">
        <v>500000</v>
      </c>
      <c r="F202" s="73">
        <v>39856</v>
      </c>
      <c r="G202" s="74">
        <v>39512</v>
      </c>
      <c r="H202" s="75">
        <v>39881</v>
      </c>
      <c r="I202" s="75">
        <v>40050</v>
      </c>
      <c r="J202" s="75">
        <v>40211</v>
      </c>
      <c r="K202" s="71" t="s">
        <v>4079</v>
      </c>
      <c r="L202" s="76"/>
    </row>
    <row r="203" spans="1:12">
      <c r="A203" s="85" t="s">
        <v>2623</v>
      </c>
      <c r="B203" s="71" t="s">
        <v>3481</v>
      </c>
      <c r="C203" s="71" t="s">
        <v>4318</v>
      </c>
      <c r="D203" s="71" t="s">
        <v>2624</v>
      </c>
      <c r="E203" s="72">
        <v>3100152</v>
      </c>
      <c r="F203" s="73">
        <v>39863</v>
      </c>
      <c r="G203" s="74">
        <v>39889</v>
      </c>
      <c r="H203" s="75">
        <v>39891</v>
      </c>
      <c r="I203" s="75">
        <v>40284</v>
      </c>
      <c r="J203" s="75">
        <v>40371</v>
      </c>
      <c r="K203" s="71" t="s">
        <v>4079</v>
      </c>
      <c r="L203" s="76"/>
    </row>
    <row r="204" spans="1:12">
      <c r="A204" s="85" t="s">
        <v>2625</v>
      </c>
      <c r="B204" s="71" t="s">
        <v>4069</v>
      </c>
      <c r="C204" s="71" t="s">
        <v>2626</v>
      </c>
      <c r="D204" s="71" t="s">
        <v>2627</v>
      </c>
      <c r="E204" s="72">
        <v>29000000</v>
      </c>
      <c r="F204" s="73">
        <v>39861</v>
      </c>
      <c r="G204" s="74">
        <v>39924</v>
      </c>
      <c r="H204" s="75">
        <v>39940</v>
      </c>
      <c r="I204" s="75"/>
      <c r="J204" s="75"/>
      <c r="K204" s="71"/>
      <c r="L204" s="76"/>
    </row>
    <row r="205" spans="1:12">
      <c r="A205" s="71" t="s">
        <v>2628</v>
      </c>
      <c r="B205" s="71" t="s">
        <v>4069</v>
      </c>
      <c r="C205" s="71"/>
      <c r="D205" s="71" t="s">
        <v>2629</v>
      </c>
      <c r="E205" s="72">
        <v>30000</v>
      </c>
      <c r="F205" s="75">
        <v>40486</v>
      </c>
      <c r="G205" s="71"/>
      <c r="H205" s="71"/>
      <c r="I205" s="71"/>
      <c r="J205" s="71"/>
      <c r="K205" s="71"/>
      <c r="L205" s="76"/>
    </row>
    <row r="206" spans="1:12">
      <c r="A206" s="85" t="s">
        <v>2630</v>
      </c>
      <c r="B206" s="71" t="s">
        <v>2631</v>
      </c>
      <c r="C206" s="71" t="s">
        <v>4255</v>
      </c>
      <c r="D206" s="71" t="s">
        <v>2632</v>
      </c>
      <c r="E206" s="72">
        <v>237535</v>
      </c>
      <c r="F206" s="73">
        <v>39840</v>
      </c>
      <c r="G206" s="74">
        <v>39849</v>
      </c>
      <c r="H206" s="75">
        <v>39869</v>
      </c>
      <c r="I206" s="75">
        <v>39938</v>
      </c>
      <c r="J206" s="75">
        <v>39994</v>
      </c>
      <c r="K206" s="71" t="s">
        <v>4079</v>
      </c>
      <c r="L206" s="76"/>
    </row>
    <row r="207" spans="1:12">
      <c r="A207" s="85" t="s">
        <v>2633</v>
      </c>
      <c r="B207" s="71" t="s">
        <v>2634</v>
      </c>
      <c r="C207" s="71" t="s">
        <v>2635</v>
      </c>
      <c r="D207" s="71" t="s">
        <v>2636</v>
      </c>
      <c r="E207" s="72">
        <v>188184</v>
      </c>
      <c r="F207" s="73">
        <v>39849</v>
      </c>
      <c r="G207" s="74">
        <v>39868</v>
      </c>
      <c r="H207" s="75">
        <v>39910</v>
      </c>
      <c r="I207" s="75">
        <v>39948</v>
      </c>
      <c r="J207" s="75">
        <v>39968</v>
      </c>
      <c r="K207" s="71" t="s">
        <v>4079</v>
      </c>
      <c r="L207" s="76"/>
    </row>
    <row r="208" spans="1:12">
      <c r="A208" s="85" t="s">
        <v>2637</v>
      </c>
      <c r="B208" s="71" t="s">
        <v>2634</v>
      </c>
      <c r="C208" s="71" t="s">
        <v>2635</v>
      </c>
      <c r="D208" s="71" t="s">
        <v>2638</v>
      </c>
      <c r="E208" s="72">
        <v>795700</v>
      </c>
      <c r="F208" s="73">
        <v>39849</v>
      </c>
      <c r="G208" s="74">
        <v>39868</v>
      </c>
      <c r="H208" s="75">
        <v>39910</v>
      </c>
      <c r="I208" s="71"/>
      <c r="J208" s="71"/>
      <c r="K208" s="71"/>
      <c r="L208" s="76"/>
    </row>
    <row r="209" spans="1:12">
      <c r="A209" s="85" t="s">
        <v>2639</v>
      </c>
      <c r="B209" s="71" t="s">
        <v>4062</v>
      </c>
      <c r="C209" s="71" t="s">
        <v>2640</v>
      </c>
      <c r="D209" s="71" t="s">
        <v>2641</v>
      </c>
      <c r="E209" s="72">
        <v>234850</v>
      </c>
      <c r="F209" s="73">
        <v>39854</v>
      </c>
      <c r="G209" s="74">
        <v>39870</v>
      </c>
      <c r="H209" s="75">
        <v>39871</v>
      </c>
      <c r="I209" s="75">
        <v>40297</v>
      </c>
      <c r="J209" s="75">
        <v>40312</v>
      </c>
      <c r="K209" s="71" t="s">
        <v>4079</v>
      </c>
      <c r="L209" s="76"/>
    </row>
    <row r="210" spans="1:12">
      <c r="A210" s="85" t="s">
        <v>2642</v>
      </c>
      <c r="B210" s="71" t="s">
        <v>4128</v>
      </c>
      <c r="C210" s="71" t="s">
        <v>4420</v>
      </c>
      <c r="D210" s="71" t="s">
        <v>2643</v>
      </c>
      <c r="E210" s="72">
        <v>494000</v>
      </c>
      <c r="F210" s="73">
        <v>39868</v>
      </c>
      <c r="G210" s="74">
        <v>39895</v>
      </c>
      <c r="H210" s="75">
        <v>39966</v>
      </c>
      <c r="I210" s="71"/>
      <c r="J210" s="71"/>
      <c r="K210" s="71"/>
      <c r="L210" s="76"/>
    </row>
    <row r="211" spans="1:12">
      <c r="A211" s="85" t="s">
        <v>2644</v>
      </c>
      <c r="B211" s="71" t="s">
        <v>4128</v>
      </c>
      <c r="C211" s="71" t="s">
        <v>2645</v>
      </c>
      <c r="D211" s="71" t="s">
        <v>2646</v>
      </c>
      <c r="E211" s="72">
        <v>433525.6</v>
      </c>
      <c r="F211" s="73">
        <v>39869</v>
      </c>
      <c r="G211" s="74">
        <v>39896</v>
      </c>
      <c r="H211" s="75">
        <v>39966</v>
      </c>
      <c r="I211" s="71"/>
      <c r="J211" s="71"/>
      <c r="K211" s="71"/>
      <c r="L211" s="76"/>
    </row>
    <row r="212" spans="1:12" ht="22.5">
      <c r="A212" s="85" t="s">
        <v>2647</v>
      </c>
      <c r="B212" s="71" t="s">
        <v>4128</v>
      </c>
      <c r="C212" s="71" t="s">
        <v>4125</v>
      </c>
      <c r="D212" s="71" t="s">
        <v>2648</v>
      </c>
      <c r="E212" s="72">
        <v>8720628</v>
      </c>
      <c r="F212" s="73">
        <v>39877</v>
      </c>
      <c r="G212" s="74">
        <v>39918</v>
      </c>
      <c r="H212" s="75">
        <v>39918</v>
      </c>
      <c r="I212" s="71"/>
      <c r="J212" s="71"/>
      <c r="K212" s="71"/>
      <c r="L212" s="76"/>
    </row>
    <row r="213" spans="1:12">
      <c r="A213" s="85" t="s">
        <v>2649</v>
      </c>
      <c r="B213" s="71" t="s">
        <v>3481</v>
      </c>
      <c r="C213" s="71" t="s">
        <v>2650</v>
      </c>
      <c r="D213" s="71" t="s">
        <v>2651</v>
      </c>
      <c r="E213" s="72">
        <v>215000</v>
      </c>
      <c r="F213" s="73">
        <v>39845</v>
      </c>
      <c r="G213" s="74">
        <v>39889</v>
      </c>
      <c r="H213" s="75">
        <v>39953</v>
      </c>
      <c r="I213" s="75">
        <v>39994</v>
      </c>
      <c r="J213" s="75">
        <v>40151</v>
      </c>
      <c r="K213" s="71" t="s">
        <v>4079</v>
      </c>
      <c r="L213" s="76"/>
    </row>
    <row r="214" spans="1:12">
      <c r="A214" s="85" t="s">
        <v>2652</v>
      </c>
      <c r="B214" s="71" t="s">
        <v>4133</v>
      </c>
      <c r="C214" s="71" t="s">
        <v>2653</v>
      </c>
      <c r="D214" s="71" t="s">
        <v>2654</v>
      </c>
      <c r="E214" s="72">
        <v>760000</v>
      </c>
      <c r="F214" s="73">
        <v>39883</v>
      </c>
      <c r="G214" s="74">
        <v>39918</v>
      </c>
      <c r="H214" s="75">
        <v>39948</v>
      </c>
      <c r="I214" s="71"/>
      <c r="J214" s="71"/>
      <c r="K214" s="71" t="s">
        <v>4049</v>
      </c>
      <c r="L214" s="76"/>
    </row>
    <row r="215" spans="1:12">
      <c r="A215" s="85" t="s">
        <v>2655</v>
      </c>
      <c r="B215" s="71" t="s">
        <v>4069</v>
      </c>
      <c r="C215" s="71" t="s">
        <v>2656</v>
      </c>
      <c r="D215" s="71" t="s">
        <v>2657</v>
      </c>
      <c r="E215" s="72">
        <v>177837</v>
      </c>
      <c r="F215" s="73">
        <v>39856</v>
      </c>
      <c r="G215" s="74">
        <v>39875</v>
      </c>
      <c r="H215" s="75"/>
      <c r="I215" s="71"/>
      <c r="J215" s="71"/>
      <c r="K215" s="71"/>
      <c r="L215" s="76"/>
    </row>
    <row r="216" spans="1:12" ht="22.5">
      <c r="A216" s="85" t="s">
        <v>2658</v>
      </c>
      <c r="B216" s="71" t="s">
        <v>3481</v>
      </c>
      <c r="C216" s="71" t="s">
        <v>4129</v>
      </c>
      <c r="D216" s="71" t="s">
        <v>2659</v>
      </c>
      <c r="E216" s="72">
        <v>130295</v>
      </c>
      <c r="F216" s="73">
        <v>39870</v>
      </c>
      <c r="G216" s="74">
        <v>39910</v>
      </c>
      <c r="H216" s="75">
        <v>39913</v>
      </c>
      <c r="I216" s="75">
        <v>40073</v>
      </c>
      <c r="J216" s="75">
        <v>40109</v>
      </c>
      <c r="K216" s="71" t="s">
        <v>4079</v>
      </c>
      <c r="L216" s="76"/>
    </row>
    <row r="217" spans="1:12">
      <c r="A217" s="85" t="s">
        <v>2660</v>
      </c>
      <c r="B217" s="71" t="s">
        <v>3481</v>
      </c>
      <c r="C217" s="71" t="s">
        <v>4354</v>
      </c>
      <c r="D217" s="71" t="s">
        <v>2661</v>
      </c>
      <c r="E217" s="72">
        <v>87695.22</v>
      </c>
      <c r="F217" s="73">
        <v>39871</v>
      </c>
      <c r="G217" s="74">
        <v>39895</v>
      </c>
      <c r="H217" s="75">
        <v>39910</v>
      </c>
      <c r="I217" s="75">
        <v>40062</v>
      </c>
      <c r="J217" s="75">
        <v>40105</v>
      </c>
      <c r="K217" s="71" t="s">
        <v>4079</v>
      </c>
      <c r="L217" s="76"/>
    </row>
    <row r="218" spans="1:12">
      <c r="A218" s="85" t="s">
        <v>2662</v>
      </c>
      <c r="B218" s="71" t="s">
        <v>4069</v>
      </c>
      <c r="C218" s="71" t="s">
        <v>2663</v>
      </c>
      <c r="D218" s="71" t="s">
        <v>2664</v>
      </c>
      <c r="E218" s="72">
        <v>165860</v>
      </c>
      <c r="F218" s="73">
        <v>39868</v>
      </c>
      <c r="G218" s="74">
        <v>39889</v>
      </c>
      <c r="H218" s="75">
        <v>39903</v>
      </c>
      <c r="I218" s="71"/>
      <c r="J218" s="71"/>
      <c r="K218" s="71"/>
      <c r="L218" s="76"/>
    </row>
    <row r="219" spans="1:12" ht="22.5">
      <c r="A219" s="85" t="s">
        <v>2665</v>
      </c>
      <c r="B219" s="71" t="s">
        <v>4069</v>
      </c>
      <c r="C219" s="71" t="s">
        <v>2666</v>
      </c>
      <c r="D219" s="71" t="s">
        <v>2667</v>
      </c>
      <c r="E219" s="72">
        <v>4500000</v>
      </c>
      <c r="F219" s="73">
        <v>39904</v>
      </c>
      <c r="G219" s="74">
        <v>40015</v>
      </c>
      <c r="H219" s="75">
        <v>40016</v>
      </c>
      <c r="I219" s="75">
        <v>40321</v>
      </c>
      <c r="J219" s="75">
        <v>40337</v>
      </c>
      <c r="K219" s="71" t="s">
        <v>4079</v>
      </c>
      <c r="L219" s="76"/>
    </row>
    <row r="220" spans="1:12">
      <c r="A220" s="85" t="s">
        <v>2668</v>
      </c>
      <c r="B220" s="71" t="s">
        <v>4147</v>
      </c>
      <c r="C220" s="71" t="s">
        <v>2669</v>
      </c>
      <c r="D220" s="71" t="s">
        <v>2670</v>
      </c>
      <c r="E220" s="72">
        <v>246445</v>
      </c>
      <c r="F220" s="73">
        <v>39734</v>
      </c>
      <c r="G220" s="74">
        <v>39765</v>
      </c>
      <c r="H220" s="75">
        <v>39909</v>
      </c>
      <c r="I220" s="71"/>
      <c r="J220" s="71"/>
      <c r="K220" s="71"/>
      <c r="L220" s="76"/>
    </row>
    <row r="221" spans="1:12">
      <c r="A221" s="85" t="s">
        <v>2671</v>
      </c>
      <c r="B221" s="71" t="s">
        <v>4066</v>
      </c>
      <c r="C221" s="71"/>
      <c r="D221" s="71" t="s">
        <v>2672</v>
      </c>
      <c r="E221" s="72">
        <v>1000000</v>
      </c>
      <c r="F221" s="73">
        <v>39903</v>
      </c>
      <c r="G221" s="74"/>
      <c r="H221" s="75"/>
      <c r="I221" s="71"/>
      <c r="J221" s="71"/>
      <c r="K221" s="71"/>
      <c r="L221" s="76"/>
    </row>
    <row r="222" spans="1:12">
      <c r="A222" s="85" t="s">
        <v>2673</v>
      </c>
      <c r="B222" s="71" t="s">
        <v>4133</v>
      </c>
      <c r="C222" s="71" t="s">
        <v>4310</v>
      </c>
      <c r="D222" s="71" t="s">
        <v>2674</v>
      </c>
      <c r="E222" s="72">
        <v>11124572</v>
      </c>
      <c r="F222" s="73">
        <v>39910</v>
      </c>
      <c r="G222" s="74">
        <v>40038</v>
      </c>
      <c r="H222" s="75">
        <v>40091</v>
      </c>
      <c r="I222" s="71"/>
      <c r="J222" s="71"/>
      <c r="K222" s="71"/>
      <c r="L222" s="76"/>
    </row>
    <row r="223" spans="1:12">
      <c r="A223" s="85" t="s">
        <v>2675</v>
      </c>
      <c r="B223" s="71" t="s">
        <v>4133</v>
      </c>
      <c r="C223" s="71" t="s">
        <v>2676</v>
      </c>
      <c r="D223" s="71" t="s">
        <v>2677</v>
      </c>
      <c r="E223" s="72">
        <v>11200000</v>
      </c>
      <c r="F223" s="73">
        <v>39931</v>
      </c>
      <c r="G223" s="74"/>
      <c r="H223" s="75"/>
      <c r="I223" s="71"/>
      <c r="J223" s="71"/>
      <c r="K223" s="71"/>
      <c r="L223" s="76"/>
    </row>
    <row r="224" spans="1:12">
      <c r="A224" s="85" t="s">
        <v>2678</v>
      </c>
      <c r="B224" s="71" t="s">
        <v>4426</v>
      </c>
      <c r="C224" s="71" t="s">
        <v>2679</v>
      </c>
      <c r="D224" s="71" t="s">
        <v>2680</v>
      </c>
      <c r="E224" s="72">
        <v>462654.65</v>
      </c>
      <c r="F224" s="73">
        <v>39869</v>
      </c>
      <c r="G224" s="74"/>
      <c r="H224" s="75"/>
      <c r="I224" s="71"/>
      <c r="J224" s="71"/>
      <c r="K224" s="71"/>
      <c r="L224" s="76"/>
    </row>
    <row r="225" spans="1:12">
      <c r="A225" s="85" t="s">
        <v>2681</v>
      </c>
      <c r="B225" s="71" t="s">
        <v>3481</v>
      </c>
      <c r="C225" s="71" t="s">
        <v>2682</v>
      </c>
      <c r="D225" s="71" t="s">
        <v>2683</v>
      </c>
      <c r="E225" s="72">
        <v>723999</v>
      </c>
      <c r="F225" s="73">
        <v>39877</v>
      </c>
      <c r="G225" s="74">
        <v>39888</v>
      </c>
      <c r="H225" s="75">
        <v>39890</v>
      </c>
      <c r="I225" s="75">
        <v>40017</v>
      </c>
      <c r="J225" s="75">
        <v>40022</v>
      </c>
      <c r="K225" s="71"/>
      <c r="L225" s="76"/>
    </row>
    <row r="226" spans="1:12">
      <c r="A226" s="85" t="s">
        <v>2684</v>
      </c>
      <c r="B226" s="71" t="s">
        <v>3481</v>
      </c>
      <c r="C226" s="71" t="s">
        <v>4255</v>
      </c>
      <c r="D226" s="71" t="s">
        <v>2685</v>
      </c>
      <c r="E226" s="72">
        <v>3864954.56</v>
      </c>
      <c r="F226" s="73">
        <v>39884</v>
      </c>
      <c r="G226" s="74">
        <v>40092</v>
      </c>
      <c r="H226" s="75">
        <v>40107</v>
      </c>
      <c r="I226" s="71"/>
      <c r="J226" s="71"/>
      <c r="K226" s="71"/>
      <c r="L226" s="76"/>
    </row>
    <row r="227" spans="1:12">
      <c r="A227" s="85" t="s">
        <v>2686</v>
      </c>
      <c r="B227" s="71" t="s">
        <v>3481</v>
      </c>
      <c r="C227" s="71" t="s">
        <v>4096</v>
      </c>
      <c r="D227" s="71" t="s">
        <v>2687</v>
      </c>
      <c r="E227" s="72">
        <v>1788000</v>
      </c>
      <c r="F227" s="73">
        <v>39869</v>
      </c>
      <c r="G227" s="74">
        <v>40057</v>
      </c>
      <c r="H227" s="75">
        <v>40059</v>
      </c>
      <c r="I227" s="75">
        <v>40184</v>
      </c>
      <c r="J227" s="75">
        <v>40198</v>
      </c>
      <c r="K227" s="71" t="s">
        <v>4079</v>
      </c>
      <c r="L227" s="76"/>
    </row>
    <row r="228" spans="1:12">
      <c r="A228" s="85" t="s">
        <v>2688</v>
      </c>
      <c r="B228" s="71" t="s">
        <v>4133</v>
      </c>
      <c r="C228" s="71" t="s">
        <v>4171</v>
      </c>
      <c r="D228" s="71" t="s">
        <v>2689</v>
      </c>
      <c r="E228" s="72">
        <v>20500000</v>
      </c>
      <c r="F228" s="73">
        <v>39917</v>
      </c>
      <c r="G228" s="74">
        <v>39953</v>
      </c>
      <c r="H228" s="75">
        <v>40025</v>
      </c>
      <c r="I228" s="71"/>
      <c r="J228" s="71"/>
      <c r="K228" s="71"/>
      <c r="L228" s="76"/>
    </row>
    <row r="229" spans="1:12">
      <c r="A229" s="85" t="s">
        <v>2690</v>
      </c>
      <c r="B229" s="71" t="s">
        <v>2691</v>
      </c>
      <c r="C229" s="71" t="s">
        <v>2584</v>
      </c>
      <c r="D229" s="71" t="s">
        <v>2692</v>
      </c>
      <c r="E229" s="72">
        <v>50213.2</v>
      </c>
      <c r="F229" s="73">
        <v>39875</v>
      </c>
      <c r="G229" s="74" t="s">
        <v>2693</v>
      </c>
      <c r="H229" s="75"/>
      <c r="I229" s="71"/>
      <c r="J229" s="71"/>
      <c r="K229" s="71" t="s">
        <v>4049</v>
      </c>
      <c r="L229" s="76"/>
    </row>
    <row r="230" spans="1:12">
      <c r="A230" s="86">
        <v>39853</v>
      </c>
      <c r="B230" s="71"/>
      <c r="C230" s="71"/>
      <c r="D230" s="71"/>
      <c r="E230" s="72"/>
      <c r="F230" s="73"/>
      <c r="G230" s="74"/>
      <c r="H230" s="75"/>
      <c r="I230" s="71"/>
      <c r="J230" s="71"/>
      <c r="K230" s="71"/>
      <c r="L230" s="76"/>
    </row>
    <row r="231" spans="1:12" ht="22.5">
      <c r="A231" s="87" t="s">
        <v>2694</v>
      </c>
      <c r="B231" s="88" t="s">
        <v>2695</v>
      </c>
      <c r="C231" s="88" t="s">
        <v>2696</v>
      </c>
      <c r="D231" s="88" t="s">
        <v>2697</v>
      </c>
      <c r="E231" s="89">
        <v>1640749.1</v>
      </c>
      <c r="F231" s="90">
        <v>39909</v>
      </c>
      <c r="G231" s="91">
        <v>39916</v>
      </c>
      <c r="H231" s="92">
        <v>39917</v>
      </c>
      <c r="I231" s="92">
        <v>40113</v>
      </c>
      <c r="J231" s="92">
        <v>40120</v>
      </c>
      <c r="K231" s="88" t="s">
        <v>4079</v>
      </c>
      <c r="L231" s="76"/>
    </row>
    <row r="232" spans="1:12">
      <c r="A232" s="87" t="s">
        <v>2698</v>
      </c>
      <c r="B232" s="88" t="s">
        <v>4069</v>
      </c>
      <c r="C232" s="88" t="s">
        <v>2699</v>
      </c>
      <c r="D232" s="88" t="s">
        <v>2700</v>
      </c>
      <c r="E232" s="89">
        <v>120500</v>
      </c>
      <c r="F232" s="90">
        <v>39868</v>
      </c>
      <c r="G232" s="91">
        <v>39889</v>
      </c>
      <c r="H232" s="92">
        <v>39898</v>
      </c>
      <c r="I232" s="88"/>
      <c r="J232" s="88"/>
      <c r="K232" s="88"/>
      <c r="L232" s="76"/>
    </row>
    <row r="233" spans="1:12">
      <c r="A233" s="85" t="s">
        <v>2701</v>
      </c>
      <c r="B233" s="71" t="s">
        <v>4128</v>
      </c>
      <c r="C233" s="71" t="s">
        <v>2702</v>
      </c>
      <c r="D233" s="71" t="s">
        <v>2703</v>
      </c>
      <c r="E233" s="72">
        <v>1045540</v>
      </c>
      <c r="F233" s="73">
        <v>39869</v>
      </c>
      <c r="G233" s="74">
        <v>39904</v>
      </c>
      <c r="H233" s="75">
        <v>39908</v>
      </c>
      <c r="I233" s="71"/>
      <c r="J233" s="71"/>
      <c r="K233" s="71"/>
      <c r="L233" s="76"/>
    </row>
    <row r="234" spans="1:12" ht="22.5">
      <c r="A234" s="85" t="s">
        <v>2704</v>
      </c>
      <c r="B234" s="71" t="s">
        <v>4062</v>
      </c>
      <c r="C234" s="71" t="s">
        <v>4109</v>
      </c>
      <c r="D234" s="71" t="s">
        <v>2705</v>
      </c>
      <c r="E234" s="72">
        <v>639900</v>
      </c>
      <c r="F234" s="73">
        <v>39882</v>
      </c>
      <c r="G234" s="74">
        <v>39898</v>
      </c>
      <c r="H234" s="75">
        <v>39899</v>
      </c>
      <c r="I234" s="71"/>
      <c r="J234" s="71"/>
      <c r="K234" s="71"/>
      <c r="L234" s="76"/>
    </row>
    <row r="235" spans="1:12" ht="22.5">
      <c r="A235" s="85" t="s">
        <v>2706</v>
      </c>
      <c r="B235" s="71" t="s">
        <v>4062</v>
      </c>
      <c r="C235" s="71" t="s">
        <v>4232</v>
      </c>
      <c r="D235" s="71" t="s">
        <v>2707</v>
      </c>
      <c r="E235" s="72">
        <v>16590000</v>
      </c>
      <c r="F235" s="73">
        <v>39946</v>
      </c>
      <c r="G235" s="74">
        <v>39996</v>
      </c>
      <c r="H235" s="75">
        <v>39996</v>
      </c>
      <c r="I235" s="71"/>
      <c r="J235" s="71"/>
      <c r="K235" s="71"/>
      <c r="L235" s="76"/>
    </row>
    <row r="236" spans="1:12">
      <c r="A236" s="85" t="s">
        <v>2708</v>
      </c>
      <c r="B236" s="71" t="s">
        <v>4062</v>
      </c>
      <c r="C236" s="71" t="s">
        <v>2709</v>
      </c>
      <c r="D236" s="71" t="s">
        <v>2710</v>
      </c>
      <c r="E236" s="72">
        <v>14122700</v>
      </c>
      <c r="F236" s="73">
        <v>39939</v>
      </c>
      <c r="G236" s="74">
        <v>40052</v>
      </c>
      <c r="H236" s="75">
        <v>40053</v>
      </c>
      <c r="I236" s="71"/>
      <c r="J236" s="71"/>
      <c r="K236" s="71"/>
      <c r="L236" s="76"/>
    </row>
    <row r="237" spans="1:12">
      <c r="A237" s="85" t="s">
        <v>2711</v>
      </c>
      <c r="B237" s="71" t="s">
        <v>4062</v>
      </c>
      <c r="C237" s="71" t="s">
        <v>2712</v>
      </c>
      <c r="D237" s="71" t="s">
        <v>2713</v>
      </c>
      <c r="E237" s="72">
        <v>668197</v>
      </c>
      <c r="F237" s="73">
        <v>39897</v>
      </c>
      <c r="G237" s="74">
        <v>39905</v>
      </c>
      <c r="H237" s="75">
        <v>39906</v>
      </c>
      <c r="I237" s="71" t="s">
        <v>4119</v>
      </c>
      <c r="J237" s="71"/>
      <c r="K237" s="71"/>
      <c r="L237" s="76"/>
    </row>
    <row r="238" spans="1:12">
      <c r="A238" s="85" t="s">
        <v>2714</v>
      </c>
      <c r="B238" s="71" t="s">
        <v>4062</v>
      </c>
      <c r="C238" s="71" t="s">
        <v>4090</v>
      </c>
      <c r="D238" s="71" t="s">
        <v>2715</v>
      </c>
      <c r="E238" s="72">
        <v>941000</v>
      </c>
      <c r="F238" s="73">
        <v>39891</v>
      </c>
      <c r="G238" s="74">
        <v>39926</v>
      </c>
      <c r="H238" s="75">
        <v>39927</v>
      </c>
      <c r="I238" s="75">
        <v>40318</v>
      </c>
      <c r="J238" s="75">
        <v>40350</v>
      </c>
      <c r="K238" s="71" t="s">
        <v>4079</v>
      </c>
      <c r="L238" s="76"/>
    </row>
    <row r="239" spans="1:12">
      <c r="A239" s="85" t="s">
        <v>2716</v>
      </c>
      <c r="B239" s="71" t="s">
        <v>4062</v>
      </c>
      <c r="C239" s="71" t="s">
        <v>2717</v>
      </c>
      <c r="D239" s="71" t="s">
        <v>2718</v>
      </c>
      <c r="E239" s="72">
        <v>368401</v>
      </c>
      <c r="F239" s="73">
        <v>39878</v>
      </c>
      <c r="G239" s="74">
        <v>39905</v>
      </c>
      <c r="H239" s="75">
        <v>39906</v>
      </c>
      <c r="I239" s="71"/>
      <c r="J239" s="71"/>
      <c r="K239" s="71"/>
      <c r="L239" s="76"/>
    </row>
    <row r="240" spans="1:12" ht="22.5">
      <c r="A240" s="85" t="s">
        <v>2719</v>
      </c>
      <c r="B240" s="71" t="s">
        <v>4062</v>
      </c>
      <c r="C240" s="71" t="s">
        <v>4232</v>
      </c>
      <c r="D240" s="71" t="s">
        <v>2720</v>
      </c>
      <c r="E240" s="72">
        <v>17894000</v>
      </c>
      <c r="F240" s="73">
        <v>39925</v>
      </c>
      <c r="G240" s="74">
        <v>39996</v>
      </c>
      <c r="H240" s="75">
        <v>39996</v>
      </c>
      <c r="I240" s="71"/>
      <c r="J240" s="71"/>
      <c r="K240" s="71"/>
      <c r="L240" s="76"/>
    </row>
    <row r="241" spans="1:12">
      <c r="A241" s="85" t="s">
        <v>2721</v>
      </c>
      <c r="B241" s="71" t="s">
        <v>4062</v>
      </c>
      <c r="C241" s="71" t="s">
        <v>2702</v>
      </c>
      <c r="D241" s="71" t="s">
        <v>2722</v>
      </c>
      <c r="E241" s="72">
        <v>14063000</v>
      </c>
      <c r="F241" s="73">
        <v>39932</v>
      </c>
      <c r="G241" s="74">
        <v>39996</v>
      </c>
      <c r="H241" s="75">
        <v>39996</v>
      </c>
      <c r="I241" s="71"/>
      <c r="J241" s="71"/>
      <c r="K241" s="71"/>
      <c r="L241" s="76"/>
    </row>
    <row r="242" spans="1:12">
      <c r="A242" s="85" t="s">
        <v>2723</v>
      </c>
      <c r="B242" s="71" t="s">
        <v>2724</v>
      </c>
      <c r="C242" s="71" t="s">
        <v>2725</v>
      </c>
      <c r="D242" s="71" t="s">
        <v>2726</v>
      </c>
      <c r="E242" s="72">
        <v>611573.80000000005</v>
      </c>
      <c r="F242" s="73">
        <v>39889</v>
      </c>
      <c r="G242" s="74">
        <v>39917</v>
      </c>
      <c r="H242" s="75">
        <v>39945</v>
      </c>
      <c r="I242" s="71"/>
      <c r="J242" s="71"/>
      <c r="K242" s="71"/>
      <c r="L242" s="76"/>
    </row>
    <row r="243" spans="1:12">
      <c r="A243" s="85" t="s">
        <v>2727</v>
      </c>
      <c r="B243" s="71" t="s">
        <v>4062</v>
      </c>
      <c r="C243" s="71" t="s">
        <v>2712</v>
      </c>
      <c r="D243" s="71" t="s">
        <v>2728</v>
      </c>
      <c r="E243" s="72">
        <v>844194</v>
      </c>
      <c r="F243" s="73">
        <v>39906</v>
      </c>
      <c r="G243" s="74">
        <v>39905</v>
      </c>
      <c r="H243" s="75">
        <v>39875</v>
      </c>
      <c r="I243" s="71"/>
      <c r="J243" s="71"/>
      <c r="K243" s="71"/>
      <c r="L243" s="76"/>
    </row>
    <row r="244" spans="1:12" ht="22.5">
      <c r="A244" s="85" t="s">
        <v>2729</v>
      </c>
      <c r="B244" s="71" t="s">
        <v>3481</v>
      </c>
      <c r="C244" s="71" t="s">
        <v>2561</v>
      </c>
      <c r="D244" s="71" t="s">
        <v>2730</v>
      </c>
      <c r="E244" s="72"/>
      <c r="F244" s="73">
        <v>39873</v>
      </c>
      <c r="G244" s="74"/>
      <c r="H244" s="75"/>
      <c r="I244" s="71"/>
      <c r="J244" s="71"/>
      <c r="K244" s="71" t="s">
        <v>4049</v>
      </c>
      <c r="L244" s="76"/>
    </row>
    <row r="245" spans="1:12">
      <c r="A245" s="85" t="s">
        <v>2731</v>
      </c>
      <c r="B245" s="71" t="s">
        <v>3481</v>
      </c>
      <c r="C245" s="71" t="s">
        <v>2732</v>
      </c>
      <c r="D245" s="71" t="s">
        <v>2733</v>
      </c>
      <c r="E245" s="72">
        <v>844207.32</v>
      </c>
      <c r="F245" s="73">
        <v>40003</v>
      </c>
      <c r="G245" s="74">
        <v>40029</v>
      </c>
      <c r="H245" s="75">
        <v>40030</v>
      </c>
      <c r="I245" s="75">
        <v>40162</v>
      </c>
      <c r="J245" s="75">
        <v>40170</v>
      </c>
      <c r="K245" s="71" t="s">
        <v>4079</v>
      </c>
      <c r="L245" s="76"/>
    </row>
    <row r="246" spans="1:12" ht="22.5">
      <c r="A246" s="85" t="s">
        <v>2734</v>
      </c>
      <c r="B246" s="71" t="s">
        <v>2634</v>
      </c>
      <c r="C246" s="71" t="s">
        <v>2735</v>
      </c>
      <c r="D246" s="71" t="s">
        <v>2736</v>
      </c>
      <c r="E246" s="72">
        <v>274715.15000000002</v>
      </c>
      <c r="F246" s="73">
        <v>39877</v>
      </c>
      <c r="G246" s="74">
        <v>39896</v>
      </c>
      <c r="H246" s="75">
        <v>39910</v>
      </c>
      <c r="I246" s="75">
        <v>39938</v>
      </c>
      <c r="J246" s="75">
        <v>39944</v>
      </c>
      <c r="K246" s="71" t="s">
        <v>4079</v>
      </c>
      <c r="L246" s="76"/>
    </row>
    <row r="247" spans="1:12">
      <c r="A247" s="85" t="s">
        <v>2737</v>
      </c>
      <c r="B247" s="71" t="s">
        <v>4133</v>
      </c>
      <c r="C247" s="71"/>
      <c r="D247" s="71" t="s">
        <v>2738</v>
      </c>
      <c r="E247" s="72">
        <v>14000000</v>
      </c>
      <c r="F247" s="73">
        <v>40029</v>
      </c>
      <c r="G247" s="74"/>
      <c r="H247" s="75"/>
      <c r="I247" s="71"/>
      <c r="J247" s="71"/>
      <c r="K247" s="71"/>
      <c r="L247" s="76"/>
    </row>
    <row r="248" spans="1:12">
      <c r="A248" s="85" t="s">
        <v>2739</v>
      </c>
      <c r="B248" s="71" t="s">
        <v>4089</v>
      </c>
      <c r="C248" s="71" t="s">
        <v>2740</v>
      </c>
      <c r="D248" s="71" t="s">
        <v>2741</v>
      </c>
      <c r="E248" s="72">
        <v>357553</v>
      </c>
      <c r="F248" s="73">
        <v>39925</v>
      </c>
      <c r="G248" s="74">
        <v>39980</v>
      </c>
      <c r="H248" s="75">
        <v>40003</v>
      </c>
      <c r="I248" s="75">
        <v>40278</v>
      </c>
      <c r="J248" s="75">
        <v>40295</v>
      </c>
      <c r="K248" s="71" t="s">
        <v>4079</v>
      </c>
      <c r="L248" s="76"/>
    </row>
    <row r="249" spans="1:12">
      <c r="A249" s="85" t="s">
        <v>2742</v>
      </c>
      <c r="B249" s="71" t="s">
        <v>3481</v>
      </c>
      <c r="C249" s="71" t="s">
        <v>4134</v>
      </c>
      <c r="D249" s="71" t="s">
        <v>2743</v>
      </c>
      <c r="E249" s="72">
        <v>6182370</v>
      </c>
      <c r="F249" s="73">
        <v>39968</v>
      </c>
      <c r="G249" s="74">
        <v>40001</v>
      </c>
      <c r="H249" s="75">
        <v>40016</v>
      </c>
      <c r="I249" s="71"/>
      <c r="J249" s="71"/>
      <c r="K249" s="71"/>
      <c r="L249" s="76"/>
    </row>
    <row r="250" spans="1:12">
      <c r="A250" s="85" t="s">
        <v>2744</v>
      </c>
      <c r="B250" s="71" t="s">
        <v>3481</v>
      </c>
      <c r="C250" s="71" t="s">
        <v>2732</v>
      </c>
      <c r="D250" s="71" t="s">
        <v>2745</v>
      </c>
      <c r="E250" s="72">
        <v>1877124.34</v>
      </c>
      <c r="F250" s="73">
        <v>39926</v>
      </c>
      <c r="G250" s="74">
        <v>39664</v>
      </c>
      <c r="H250" s="75">
        <v>40031</v>
      </c>
      <c r="I250" s="75">
        <v>40361</v>
      </c>
      <c r="J250" s="75">
        <v>40371</v>
      </c>
      <c r="K250" s="71" t="s">
        <v>4079</v>
      </c>
      <c r="L250" s="76"/>
    </row>
    <row r="251" spans="1:12">
      <c r="A251" s="85" t="s">
        <v>2746</v>
      </c>
      <c r="B251" s="71" t="s">
        <v>3481</v>
      </c>
      <c r="C251" s="71" t="s">
        <v>4039</v>
      </c>
      <c r="D251" s="71" t="s">
        <v>2747</v>
      </c>
      <c r="E251" s="72">
        <v>10434675.529999999</v>
      </c>
      <c r="F251" s="73">
        <v>39912</v>
      </c>
      <c r="G251" s="74">
        <v>40092</v>
      </c>
      <c r="H251" s="75">
        <v>40098</v>
      </c>
      <c r="I251" s="71"/>
      <c r="J251" s="71"/>
      <c r="K251" s="71"/>
      <c r="L251" s="76"/>
    </row>
    <row r="252" spans="1:12">
      <c r="A252" s="85" t="s">
        <v>2748</v>
      </c>
      <c r="B252" s="71" t="s">
        <v>3481</v>
      </c>
      <c r="C252" s="71" t="s">
        <v>4417</v>
      </c>
      <c r="D252" s="71" t="s">
        <v>2749</v>
      </c>
      <c r="E252" s="72">
        <v>3532752</v>
      </c>
      <c r="F252" s="73">
        <v>39946</v>
      </c>
      <c r="G252" s="74">
        <v>39980</v>
      </c>
      <c r="H252" s="75">
        <v>39986</v>
      </c>
      <c r="I252" s="71"/>
      <c r="J252" s="71"/>
      <c r="K252" s="71"/>
      <c r="L252" s="76"/>
    </row>
    <row r="253" spans="1:12">
      <c r="A253" s="85" t="s">
        <v>2750</v>
      </c>
      <c r="B253" s="71" t="s">
        <v>2751</v>
      </c>
      <c r="C253" s="71" t="s">
        <v>2752</v>
      </c>
      <c r="D253" s="71" t="s">
        <v>2753</v>
      </c>
      <c r="E253" s="72">
        <v>121300</v>
      </c>
      <c r="F253" s="73">
        <v>39905</v>
      </c>
      <c r="G253" s="74">
        <v>39966</v>
      </c>
      <c r="H253" s="75">
        <v>40133</v>
      </c>
      <c r="I253" s="75">
        <v>40081</v>
      </c>
      <c r="J253" s="75">
        <v>40133</v>
      </c>
      <c r="K253" s="71" t="s">
        <v>4079</v>
      </c>
      <c r="L253" s="76"/>
    </row>
    <row r="254" spans="1:12">
      <c r="A254" s="85" t="s">
        <v>2754</v>
      </c>
      <c r="B254" s="71" t="s">
        <v>4137</v>
      </c>
      <c r="C254" s="71" t="s">
        <v>2702</v>
      </c>
      <c r="D254" s="71" t="s">
        <v>2755</v>
      </c>
      <c r="E254" s="72">
        <v>573546</v>
      </c>
      <c r="F254" s="73">
        <v>39910</v>
      </c>
      <c r="G254" s="74">
        <v>39932</v>
      </c>
      <c r="H254" s="75">
        <v>39933</v>
      </c>
      <c r="I254" s="71"/>
      <c r="J254" s="71"/>
      <c r="K254" s="71"/>
      <c r="L254" s="76"/>
    </row>
    <row r="255" spans="1:12">
      <c r="A255" s="85" t="s">
        <v>2756</v>
      </c>
      <c r="B255" s="71" t="s">
        <v>4133</v>
      </c>
      <c r="C255" s="71" t="s">
        <v>2757</v>
      </c>
      <c r="D255" s="71" t="s">
        <v>2758</v>
      </c>
      <c r="E255" s="72">
        <v>90421173</v>
      </c>
      <c r="F255" s="73">
        <v>39919</v>
      </c>
      <c r="G255" s="74">
        <v>39953</v>
      </c>
      <c r="H255" s="75">
        <v>40077</v>
      </c>
      <c r="I255" s="71"/>
      <c r="J255" s="71"/>
      <c r="K255" s="71"/>
      <c r="L255" s="76"/>
    </row>
    <row r="256" spans="1:12">
      <c r="A256" s="85" t="s">
        <v>2759</v>
      </c>
      <c r="B256" s="71" t="s">
        <v>4066</v>
      </c>
      <c r="C256" s="71" t="s">
        <v>2760</v>
      </c>
      <c r="D256" s="71" t="s">
        <v>2761</v>
      </c>
      <c r="E256" s="72">
        <v>275980</v>
      </c>
      <c r="F256" s="73">
        <v>39924</v>
      </c>
      <c r="G256" s="74">
        <v>40066</v>
      </c>
      <c r="H256" s="75">
        <v>40073</v>
      </c>
      <c r="I256" s="71"/>
      <c r="J256" s="71"/>
      <c r="K256" s="71"/>
      <c r="L256" s="76"/>
    </row>
    <row r="257" spans="1:12">
      <c r="A257" s="93">
        <v>39873</v>
      </c>
      <c r="B257" s="71"/>
      <c r="C257" s="71"/>
      <c r="D257" s="71"/>
      <c r="E257" s="72"/>
      <c r="F257" s="73"/>
      <c r="G257" s="74"/>
      <c r="H257" s="75"/>
      <c r="I257" s="71"/>
      <c r="J257" s="71"/>
      <c r="K257" s="71"/>
      <c r="L257" s="76"/>
    </row>
    <row r="258" spans="1:12">
      <c r="A258" s="85" t="s">
        <v>2762</v>
      </c>
      <c r="B258" s="71" t="s">
        <v>4341</v>
      </c>
      <c r="C258" s="71" t="s">
        <v>2763</v>
      </c>
      <c r="D258" s="71" t="s">
        <v>2764</v>
      </c>
      <c r="E258" s="72">
        <v>597737</v>
      </c>
      <c r="F258" s="73">
        <v>39912</v>
      </c>
      <c r="G258" s="74">
        <v>39931</v>
      </c>
      <c r="H258" s="75">
        <v>39932</v>
      </c>
      <c r="I258" s="71"/>
      <c r="J258" s="71"/>
      <c r="K258" s="71"/>
      <c r="L258" s="76"/>
    </row>
    <row r="259" spans="1:12">
      <c r="A259" s="85" t="s">
        <v>2765</v>
      </c>
      <c r="B259" s="71" t="s">
        <v>3481</v>
      </c>
      <c r="C259" s="71" t="s">
        <v>4310</v>
      </c>
      <c r="D259" s="71" t="s">
        <v>2766</v>
      </c>
      <c r="E259" s="72">
        <v>406850</v>
      </c>
      <c r="F259" s="73">
        <v>39954</v>
      </c>
      <c r="G259" s="74">
        <v>39972</v>
      </c>
      <c r="H259" s="75">
        <v>39979</v>
      </c>
      <c r="I259" s="75">
        <v>40428</v>
      </c>
      <c r="J259" s="75">
        <v>40429</v>
      </c>
      <c r="K259" s="71" t="s">
        <v>4079</v>
      </c>
      <c r="L259" s="76"/>
    </row>
    <row r="260" spans="1:12">
      <c r="A260" s="85" t="s">
        <v>2767</v>
      </c>
      <c r="B260" s="71" t="s">
        <v>4062</v>
      </c>
      <c r="C260" s="71" t="s">
        <v>4329</v>
      </c>
      <c r="D260" s="71" t="s">
        <v>2768</v>
      </c>
      <c r="E260" s="72">
        <v>20175000</v>
      </c>
      <c r="F260" s="73">
        <v>39947</v>
      </c>
      <c r="G260" s="74">
        <v>39954</v>
      </c>
      <c r="H260" s="75">
        <v>39955</v>
      </c>
      <c r="I260" s="71"/>
      <c r="J260" s="71"/>
      <c r="K260" s="71"/>
      <c r="L260" s="76"/>
    </row>
    <row r="261" spans="1:12">
      <c r="A261" s="85" t="s">
        <v>2769</v>
      </c>
      <c r="B261" s="71" t="s">
        <v>4066</v>
      </c>
      <c r="C261" s="71" t="s">
        <v>4449</v>
      </c>
      <c r="D261" s="71" t="s">
        <v>2770</v>
      </c>
      <c r="E261" s="72">
        <v>540041</v>
      </c>
      <c r="F261" s="73">
        <v>39925</v>
      </c>
      <c r="G261" s="74">
        <v>40070</v>
      </c>
      <c r="H261" s="75">
        <v>40073</v>
      </c>
      <c r="I261" s="75">
        <v>40253</v>
      </c>
      <c r="J261" s="75">
        <v>40358</v>
      </c>
      <c r="K261" s="71" t="s">
        <v>4079</v>
      </c>
      <c r="L261" s="76"/>
    </row>
    <row r="262" spans="1:12">
      <c r="A262" s="85" t="s">
        <v>2771</v>
      </c>
      <c r="B262" s="71" t="s">
        <v>4066</v>
      </c>
      <c r="C262" s="71"/>
      <c r="D262" s="71" t="s">
        <v>2772</v>
      </c>
      <c r="E262" s="72">
        <v>550000</v>
      </c>
      <c r="F262" s="73">
        <v>39931</v>
      </c>
      <c r="G262" s="74"/>
      <c r="H262" s="75"/>
      <c r="I262" s="71"/>
      <c r="J262" s="71"/>
      <c r="K262" s="71"/>
      <c r="L262" s="76"/>
    </row>
    <row r="263" spans="1:12">
      <c r="A263" s="85" t="s">
        <v>2773</v>
      </c>
      <c r="B263" s="71" t="s">
        <v>4038</v>
      </c>
      <c r="C263" s="71" t="s">
        <v>2774</v>
      </c>
      <c r="D263" s="71" t="s">
        <v>2775</v>
      </c>
      <c r="E263" s="72">
        <v>248429</v>
      </c>
      <c r="F263" s="73">
        <v>39940</v>
      </c>
      <c r="G263" s="74">
        <v>39980</v>
      </c>
      <c r="H263" s="75">
        <v>40003</v>
      </c>
      <c r="I263" s="75">
        <v>40113</v>
      </c>
      <c r="J263" s="75">
        <v>40275</v>
      </c>
      <c r="K263" s="71" t="s">
        <v>4079</v>
      </c>
      <c r="L263" s="76"/>
    </row>
    <row r="264" spans="1:12">
      <c r="A264" s="85" t="s">
        <v>2776</v>
      </c>
      <c r="B264" s="71" t="s">
        <v>4231</v>
      </c>
      <c r="C264" s="71" t="s">
        <v>2603</v>
      </c>
      <c r="D264" s="71" t="s">
        <v>2777</v>
      </c>
      <c r="E264" s="72">
        <v>1000000</v>
      </c>
      <c r="F264" s="73">
        <v>39909</v>
      </c>
      <c r="G264" s="74">
        <v>39904</v>
      </c>
      <c r="H264" s="75">
        <v>39983</v>
      </c>
      <c r="I264" s="71"/>
      <c r="J264" s="71"/>
      <c r="K264" s="71"/>
      <c r="L264" s="76"/>
    </row>
    <row r="265" spans="1:12">
      <c r="A265" s="85" t="s">
        <v>2778</v>
      </c>
      <c r="B265" s="71" t="s">
        <v>4231</v>
      </c>
      <c r="C265" s="71"/>
      <c r="D265" s="71" t="s">
        <v>2779</v>
      </c>
      <c r="E265" s="72">
        <v>700000</v>
      </c>
      <c r="F265" s="73">
        <v>40026</v>
      </c>
      <c r="G265" s="74"/>
      <c r="H265" s="75"/>
      <c r="I265" s="71"/>
      <c r="J265" s="71"/>
      <c r="K265" s="71"/>
      <c r="L265" s="76"/>
    </row>
    <row r="266" spans="1:12">
      <c r="A266" s="85" t="s">
        <v>2780</v>
      </c>
      <c r="B266" s="71" t="s">
        <v>2781</v>
      </c>
      <c r="C266" s="71" t="s">
        <v>2782</v>
      </c>
      <c r="D266" s="71" t="s">
        <v>2783</v>
      </c>
      <c r="E266" s="72">
        <v>978444.72</v>
      </c>
      <c r="F266" s="73">
        <v>39934</v>
      </c>
      <c r="G266" s="74">
        <v>39968</v>
      </c>
      <c r="H266" s="75">
        <v>40112</v>
      </c>
      <c r="I266" s="71"/>
      <c r="J266" s="71"/>
      <c r="K266" s="71"/>
      <c r="L266" s="76"/>
    </row>
    <row r="267" spans="1:12">
      <c r="A267" s="85" t="s">
        <v>2784</v>
      </c>
      <c r="B267" s="71" t="s">
        <v>3481</v>
      </c>
      <c r="C267" s="71" t="s">
        <v>2760</v>
      </c>
      <c r="D267" s="71" t="s">
        <v>2785</v>
      </c>
      <c r="E267" s="72">
        <v>143490</v>
      </c>
      <c r="F267" s="73">
        <v>39910</v>
      </c>
      <c r="G267" s="74">
        <v>40066</v>
      </c>
      <c r="H267" s="75">
        <v>40130</v>
      </c>
      <c r="I267" s="71"/>
      <c r="J267" s="71"/>
      <c r="K267" s="71"/>
      <c r="L267" s="76"/>
    </row>
    <row r="268" spans="1:12" ht="22.5">
      <c r="A268" s="85" t="s">
        <v>2786</v>
      </c>
      <c r="B268" s="71" t="s">
        <v>4216</v>
      </c>
      <c r="C268" s="71" t="s">
        <v>2571</v>
      </c>
      <c r="D268" s="71" t="s">
        <v>2787</v>
      </c>
      <c r="E268" s="72">
        <v>1119191.68</v>
      </c>
      <c r="F268" s="73">
        <v>39941</v>
      </c>
      <c r="G268" s="74">
        <v>39966</v>
      </c>
      <c r="H268" s="75">
        <v>39969</v>
      </c>
      <c r="I268" s="75">
        <v>40046</v>
      </c>
      <c r="J268" s="75">
        <v>40081</v>
      </c>
      <c r="K268" s="71" t="s">
        <v>4079</v>
      </c>
      <c r="L268" s="76"/>
    </row>
    <row r="269" spans="1:12">
      <c r="A269" s="85" t="s">
        <v>2788</v>
      </c>
      <c r="B269" s="71" t="s">
        <v>4066</v>
      </c>
      <c r="C269" s="71" t="s">
        <v>2789</v>
      </c>
      <c r="D269" s="71" t="s">
        <v>2790</v>
      </c>
      <c r="E269" s="72">
        <v>1239445</v>
      </c>
      <c r="F269" s="73">
        <v>39941</v>
      </c>
      <c r="G269" s="74">
        <v>39966</v>
      </c>
      <c r="H269" s="75">
        <v>39968</v>
      </c>
      <c r="I269" s="71"/>
      <c r="J269" s="71"/>
      <c r="K269" s="71"/>
      <c r="L269" s="76"/>
    </row>
    <row r="270" spans="1:12">
      <c r="A270" s="85" t="s">
        <v>2791</v>
      </c>
      <c r="B270" s="71" t="s">
        <v>4264</v>
      </c>
      <c r="C270" s="71" t="s">
        <v>4417</v>
      </c>
      <c r="D270" s="71" t="s">
        <v>2792</v>
      </c>
      <c r="E270" s="72">
        <v>32340803</v>
      </c>
      <c r="F270" s="73">
        <v>39939</v>
      </c>
      <c r="G270" s="74">
        <v>39975</v>
      </c>
      <c r="H270" s="75">
        <v>39980</v>
      </c>
      <c r="I270" s="71"/>
      <c r="J270" s="71"/>
      <c r="K270" s="71"/>
      <c r="L270" s="76"/>
    </row>
    <row r="271" spans="1:12">
      <c r="A271" s="85" t="s">
        <v>2793</v>
      </c>
      <c r="B271" s="71" t="s">
        <v>4062</v>
      </c>
      <c r="C271" s="71" t="s">
        <v>4096</v>
      </c>
      <c r="D271" s="71" t="s">
        <v>2794</v>
      </c>
      <c r="E271" s="72">
        <v>706485</v>
      </c>
      <c r="F271" s="73">
        <v>39906</v>
      </c>
      <c r="G271" s="74">
        <v>39926</v>
      </c>
      <c r="H271" s="75">
        <v>39927</v>
      </c>
      <c r="I271" s="71"/>
      <c r="J271" s="71"/>
      <c r="K271" s="71"/>
      <c r="L271" s="76"/>
    </row>
    <row r="272" spans="1:12">
      <c r="A272" s="85" t="s">
        <v>2795</v>
      </c>
      <c r="B272" s="71" t="s">
        <v>4216</v>
      </c>
      <c r="C272" s="71" t="s">
        <v>2584</v>
      </c>
      <c r="D272" s="71" t="s">
        <v>2796</v>
      </c>
      <c r="E272" s="72">
        <v>61379</v>
      </c>
      <c r="F272" s="73">
        <v>39902</v>
      </c>
      <c r="G272" s="74"/>
      <c r="H272" s="75"/>
      <c r="I272" s="71"/>
      <c r="J272" s="71"/>
      <c r="K272" s="71" t="s">
        <v>4049</v>
      </c>
      <c r="L272" s="76"/>
    </row>
    <row r="273" spans="1:12">
      <c r="A273" s="85" t="s">
        <v>2797</v>
      </c>
      <c r="B273" s="71" t="s">
        <v>4062</v>
      </c>
      <c r="C273" s="71" t="s">
        <v>2798</v>
      </c>
      <c r="D273" s="71" t="s">
        <v>2799</v>
      </c>
      <c r="E273" s="72">
        <v>172480</v>
      </c>
      <c r="F273" s="73">
        <v>39875</v>
      </c>
      <c r="G273" s="74">
        <v>39895</v>
      </c>
      <c r="H273" s="75">
        <v>39927</v>
      </c>
      <c r="I273" s="71"/>
      <c r="J273" s="71"/>
      <c r="K273" s="71"/>
      <c r="L273" s="76"/>
    </row>
    <row r="274" spans="1:12">
      <c r="A274" s="85" t="s">
        <v>2800</v>
      </c>
      <c r="B274" s="71" t="s">
        <v>4062</v>
      </c>
      <c r="C274" s="71" t="s">
        <v>2798</v>
      </c>
      <c r="D274" s="71" t="s">
        <v>2801</v>
      </c>
      <c r="E274" s="72">
        <v>164600</v>
      </c>
      <c r="F274" s="73">
        <v>39875</v>
      </c>
      <c r="G274" s="74">
        <v>39926</v>
      </c>
      <c r="H274" s="75">
        <v>39927</v>
      </c>
      <c r="I274" s="71"/>
      <c r="J274" s="71"/>
      <c r="K274" s="71"/>
      <c r="L274" s="76"/>
    </row>
    <row r="275" spans="1:12">
      <c r="A275" s="85" t="s">
        <v>2802</v>
      </c>
      <c r="B275" s="71" t="s">
        <v>4062</v>
      </c>
      <c r="C275" s="71" t="s">
        <v>2798</v>
      </c>
      <c r="D275" s="71" t="s">
        <v>2803</v>
      </c>
      <c r="E275" s="72">
        <v>162051</v>
      </c>
      <c r="F275" s="73">
        <v>39875</v>
      </c>
      <c r="G275" s="74">
        <v>39926</v>
      </c>
      <c r="H275" s="75">
        <v>39927</v>
      </c>
      <c r="I275" s="75">
        <v>39988</v>
      </c>
      <c r="J275" s="75">
        <v>40003</v>
      </c>
      <c r="K275" s="71" t="s">
        <v>4079</v>
      </c>
      <c r="L275" s="76"/>
    </row>
    <row r="276" spans="1:12">
      <c r="A276" s="85" t="s">
        <v>2804</v>
      </c>
      <c r="B276" s="71" t="s">
        <v>4066</v>
      </c>
      <c r="C276" s="71" t="s">
        <v>2805</v>
      </c>
      <c r="D276" s="71" t="s">
        <v>2806</v>
      </c>
      <c r="E276" s="72">
        <v>2325460</v>
      </c>
      <c r="F276" s="73">
        <v>39926</v>
      </c>
      <c r="G276" s="74">
        <v>40001</v>
      </c>
      <c r="H276" s="75">
        <v>39997</v>
      </c>
      <c r="I276" s="75">
        <v>40428</v>
      </c>
      <c r="J276" s="75">
        <v>40429</v>
      </c>
      <c r="K276" s="71" t="s">
        <v>4079</v>
      </c>
      <c r="L276" s="76"/>
    </row>
    <row r="277" spans="1:12">
      <c r="A277" s="85" t="s">
        <v>2807</v>
      </c>
      <c r="B277" s="71" t="s">
        <v>4066</v>
      </c>
      <c r="C277" s="71" t="s">
        <v>2561</v>
      </c>
      <c r="D277" s="71" t="s">
        <v>2808</v>
      </c>
      <c r="E277" s="72"/>
      <c r="F277" s="73">
        <v>39895</v>
      </c>
      <c r="G277" s="74"/>
      <c r="H277" s="75"/>
      <c r="I277" s="71"/>
      <c r="J277" s="71"/>
      <c r="K277" s="71" t="s">
        <v>4049</v>
      </c>
      <c r="L277" s="76"/>
    </row>
    <row r="278" spans="1:12">
      <c r="A278" s="85" t="s">
        <v>2809</v>
      </c>
      <c r="B278" s="71" t="s">
        <v>2810</v>
      </c>
      <c r="C278" s="71" t="s">
        <v>2561</v>
      </c>
      <c r="D278" s="71" t="s">
        <v>2811</v>
      </c>
      <c r="E278" s="72"/>
      <c r="F278" s="73">
        <v>40025</v>
      </c>
      <c r="G278" s="74"/>
      <c r="H278" s="75"/>
      <c r="I278" s="71"/>
      <c r="J278" s="71"/>
      <c r="K278" s="71"/>
      <c r="L278" s="76"/>
    </row>
    <row r="279" spans="1:12">
      <c r="A279" s="85" t="s">
        <v>2812</v>
      </c>
      <c r="B279" s="71" t="s">
        <v>4128</v>
      </c>
      <c r="C279" s="71" t="s">
        <v>4400</v>
      </c>
      <c r="D279" s="71" t="s">
        <v>2813</v>
      </c>
      <c r="E279" s="72"/>
      <c r="F279" s="73">
        <v>39905</v>
      </c>
      <c r="G279" s="74"/>
      <c r="H279" s="75"/>
      <c r="I279" s="71"/>
      <c r="J279" s="71"/>
      <c r="K279" s="71" t="s">
        <v>4049</v>
      </c>
      <c r="L279" s="76"/>
    </row>
    <row r="280" spans="1:12">
      <c r="A280" s="85" t="s">
        <v>2814</v>
      </c>
      <c r="B280" s="71" t="s">
        <v>2815</v>
      </c>
      <c r="C280" s="71" t="s">
        <v>2561</v>
      </c>
      <c r="D280" s="71" t="s">
        <v>2816</v>
      </c>
      <c r="E280" s="72"/>
      <c r="F280" s="73">
        <v>39925</v>
      </c>
      <c r="G280" s="74"/>
      <c r="H280" s="75"/>
      <c r="I280" s="71"/>
      <c r="J280" s="71"/>
      <c r="K280" s="71" t="s">
        <v>4049</v>
      </c>
      <c r="L280" s="76"/>
    </row>
    <row r="281" spans="1:12">
      <c r="A281" s="85" t="s">
        <v>2817</v>
      </c>
      <c r="B281" s="71" t="s">
        <v>4069</v>
      </c>
      <c r="C281" s="71" t="s">
        <v>2818</v>
      </c>
      <c r="D281" s="71" t="s">
        <v>2819</v>
      </c>
      <c r="E281" s="72">
        <v>17041930.510000002</v>
      </c>
      <c r="F281" s="73">
        <v>39888</v>
      </c>
      <c r="G281" s="74">
        <v>39875</v>
      </c>
      <c r="H281" s="75">
        <v>39981</v>
      </c>
      <c r="I281" s="71"/>
      <c r="J281" s="71"/>
      <c r="K281" s="71"/>
      <c r="L281" s="76"/>
    </row>
    <row r="282" spans="1:12">
      <c r="A282" s="85" t="s">
        <v>2820</v>
      </c>
      <c r="B282" s="71" t="s">
        <v>3481</v>
      </c>
      <c r="C282" s="71" t="s">
        <v>4274</v>
      </c>
      <c r="D282" s="71" t="s">
        <v>2821</v>
      </c>
      <c r="E282" s="72">
        <v>110294</v>
      </c>
      <c r="F282" s="73">
        <v>39917</v>
      </c>
      <c r="G282" s="74">
        <v>39939</v>
      </c>
      <c r="H282" s="75">
        <v>39939</v>
      </c>
      <c r="I282" s="75">
        <v>40036</v>
      </c>
      <c r="J282" s="75">
        <v>40112</v>
      </c>
      <c r="K282" s="71" t="s">
        <v>4079</v>
      </c>
      <c r="L282" s="76"/>
    </row>
    <row r="283" spans="1:12">
      <c r="A283" s="85" t="s">
        <v>2822</v>
      </c>
      <c r="B283" s="71" t="s">
        <v>4186</v>
      </c>
      <c r="C283" s="71" t="s">
        <v>4084</v>
      </c>
      <c r="D283" s="71" t="s">
        <v>2823</v>
      </c>
      <c r="E283" s="72">
        <v>95000</v>
      </c>
      <c r="F283" s="73">
        <v>39910</v>
      </c>
      <c r="G283" s="74">
        <v>39911</v>
      </c>
      <c r="H283" s="75">
        <v>39939</v>
      </c>
      <c r="I283" s="75">
        <v>40035</v>
      </c>
      <c r="J283" s="75">
        <v>40042</v>
      </c>
      <c r="K283" s="71" t="s">
        <v>4079</v>
      </c>
      <c r="L283" s="76"/>
    </row>
    <row r="284" spans="1:12">
      <c r="A284" s="85" t="s">
        <v>2824</v>
      </c>
      <c r="B284" s="71" t="s">
        <v>4216</v>
      </c>
      <c r="C284" s="71" t="s">
        <v>2825</v>
      </c>
      <c r="D284" s="71" t="s">
        <v>2826</v>
      </c>
      <c r="E284" s="72">
        <v>150051</v>
      </c>
      <c r="F284" s="73">
        <v>39913</v>
      </c>
      <c r="G284" s="74">
        <v>39966</v>
      </c>
      <c r="H284" s="75">
        <v>39969</v>
      </c>
      <c r="I284" s="75">
        <v>40077</v>
      </c>
      <c r="J284" s="75">
        <v>40081</v>
      </c>
      <c r="K284" s="71" t="s">
        <v>4079</v>
      </c>
      <c r="L284" s="76"/>
    </row>
    <row r="285" spans="1:12">
      <c r="A285" s="85" t="s">
        <v>2827</v>
      </c>
      <c r="B285" s="71" t="s">
        <v>3481</v>
      </c>
      <c r="C285" s="71" t="s">
        <v>2828</v>
      </c>
      <c r="D285" s="71" t="s">
        <v>2829</v>
      </c>
      <c r="E285" s="72">
        <v>142404</v>
      </c>
      <c r="F285" s="73">
        <v>39932</v>
      </c>
      <c r="G285" s="74">
        <v>39948</v>
      </c>
      <c r="H285" s="75">
        <v>39954</v>
      </c>
      <c r="I285" s="71"/>
      <c r="J285" s="71"/>
      <c r="K285" s="71"/>
      <c r="L285" s="76"/>
    </row>
    <row r="286" spans="1:12" ht="22.5">
      <c r="A286" s="85" t="s">
        <v>2830</v>
      </c>
      <c r="B286" s="71" t="s">
        <v>4133</v>
      </c>
      <c r="C286" s="71" t="s">
        <v>2831</v>
      </c>
      <c r="D286" s="71" t="s">
        <v>2832</v>
      </c>
      <c r="E286" s="72">
        <v>122205</v>
      </c>
      <c r="F286" s="73">
        <v>39917</v>
      </c>
      <c r="G286" s="74">
        <v>39953</v>
      </c>
      <c r="H286" s="75">
        <v>40025</v>
      </c>
      <c r="I286" s="75">
        <v>40078</v>
      </c>
      <c r="J286" s="75">
        <v>40162</v>
      </c>
      <c r="K286" s="71" t="s">
        <v>4079</v>
      </c>
      <c r="L286" s="76"/>
    </row>
    <row r="287" spans="1:12">
      <c r="A287" s="85" t="s">
        <v>2833</v>
      </c>
      <c r="B287" s="71" t="s">
        <v>4062</v>
      </c>
      <c r="C287" s="71" t="s">
        <v>2561</v>
      </c>
      <c r="D287" s="71" t="s">
        <v>2834</v>
      </c>
      <c r="E287" s="72"/>
      <c r="F287" s="73">
        <v>39917</v>
      </c>
      <c r="G287" s="74"/>
      <c r="H287" s="75"/>
      <c r="I287" s="71"/>
      <c r="J287" s="71"/>
      <c r="K287" s="71"/>
      <c r="L287" s="76"/>
    </row>
    <row r="288" spans="1:12">
      <c r="A288" s="85" t="s">
        <v>2835</v>
      </c>
      <c r="B288" s="71" t="s">
        <v>4128</v>
      </c>
      <c r="C288" s="71" t="s">
        <v>2836</v>
      </c>
      <c r="D288" s="71" t="s">
        <v>2837</v>
      </c>
      <c r="E288" s="72"/>
      <c r="F288" s="73">
        <v>39951</v>
      </c>
      <c r="G288" s="74"/>
      <c r="H288" s="75"/>
      <c r="I288" s="71"/>
      <c r="J288" s="71"/>
      <c r="K288" s="71"/>
      <c r="L288" s="76"/>
    </row>
    <row r="289" spans="1:12">
      <c r="A289" s="85" t="s">
        <v>2838</v>
      </c>
      <c r="B289" s="71" t="s">
        <v>4089</v>
      </c>
      <c r="C289" s="71" t="s">
        <v>2839</v>
      </c>
      <c r="D289" s="71" t="s">
        <v>2840</v>
      </c>
      <c r="E289" s="72">
        <v>4000000</v>
      </c>
      <c r="F289" s="73">
        <v>39967</v>
      </c>
      <c r="G289" s="74"/>
      <c r="H289" s="75"/>
      <c r="I289" s="71"/>
      <c r="J289" s="71"/>
      <c r="K289" s="71"/>
      <c r="L289" s="76"/>
    </row>
    <row r="290" spans="1:12">
      <c r="A290" s="85" t="s">
        <v>2841</v>
      </c>
      <c r="B290" s="71" t="s">
        <v>4066</v>
      </c>
      <c r="C290" s="71" t="s">
        <v>2842</v>
      </c>
      <c r="D290" s="71" t="s">
        <v>2843</v>
      </c>
      <c r="E290" s="72">
        <v>248380</v>
      </c>
      <c r="F290" s="73">
        <v>39937</v>
      </c>
      <c r="G290" s="74">
        <v>39966</v>
      </c>
      <c r="H290" s="75">
        <v>39969</v>
      </c>
      <c r="I290" s="71"/>
      <c r="J290" s="71"/>
      <c r="K290" s="71"/>
      <c r="L290" s="76"/>
    </row>
    <row r="291" spans="1:12">
      <c r="A291" s="85" t="s">
        <v>2844</v>
      </c>
      <c r="B291" s="71" t="s">
        <v>4062</v>
      </c>
      <c r="C291" s="71" t="s">
        <v>4454</v>
      </c>
      <c r="D291" s="71" t="s">
        <v>2845</v>
      </c>
      <c r="E291" s="72">
        <v>182840</v>
      </c>
      <c r="F291" s="73">
        <v>39920</v>
      </c>
      <c r="G291" s="74">
        <v>39947</v>
      </c>
      <c r="H291" s="75">
        <v>39948</v>
      </c>
      <c r="I291" s="75">
        <v>39994</v>
      </c>
      <c r="J291" s="75">
        <v>40003</v>
      </c>
      <c r="K291" s="71" t="s">
        <v>2846</v>
      </c>
      <c r="L291" s="76"/>
    </row>
    <row r="292" spans="1:12">
      <c r="A292" s="85" t="s">
        <v>2847</v>
      </c>
      <c r="B292" s="71" t="s">
        <v>4128</v>
      </c>
      <c r="C292" s="71" t="s">
        <v>4039</v>
      </c>
      <c r="D292" s="71" t="s">
        <v>2848</v>
      </c>
      <c r="E292" s="72">
        <v>3650000</v>
      </c>
      <c r="F292" s="73">
        <v>39917</v>
      </c>
      <c r="G292" s="74">
        <v>40009</v>
      </c>
      <c r="H292" s="75">
        <v>40009</v>
      </c>
      <c r="I292" s="71"/>
      <c r="J292" s="71"/>
      <c r="K292" s="71"/>
      <c r="L292" s="76"/>
    </row>
    <row r="293" spans="1:12">
      <c r="A293" s="85" t="s">
        <v>2849</v>
      </c>
      <c r="B293" s="71" t="s">
        <v>4186</v>
      </c>
      <c r="C293" s="71" t="s">
        <v>2850</v>
      </c>
      <c r="D293" s="71" t="s">
        <v>2851</v>
      </c>
      <c r="E293" s="72">
        <v>65320</v>
      </c>
      <c r="F293" s="73">
        <v>39910</v>
      </c>
      <c r="G293" s="74">
        <v>39910</v>
      </c>
      <c r="H293" s="75">
        <v>39911</v>
      </c>
      <c r="I293" s="71"/>
      <c r="J293" s="71"/>
      <c r="K293" s="71"/>
      <c r="L293" s="76"/>
    </row>
    <row r="294" spans="1:12">
      <c r="A294" s="85" t="s">
        <v>2852</v>
      </c>
      <c r="B294" s="71" t="s">
        <v>2853</v>
      </c>
      <c r="C294" s="71" t="s">
        <v>4049</v>
      </c>
      <c r="D294" s="71" t="s">
        <v>2854</v>
      </c>
      <c r="E294" s="72"/>
      <c r="F294" s="73">
        <v>39918</v>
      </c>
      <c r="G294" s="74"/>
      <c r="H294" s="75"/>
      <c r="I294" s="71"/>
      <c r="J294" s="71"/>
      <c r="K294" s="71" t="s">
        <v>4049</v>
      </c>
      <c r="L294" s="76"/>
    </row>
    <row r="295" spans="1:12">
      <c r="A295" s="85" t="s">
        <v>2855</v>
      </c>
      <c r="B295" s="71" t="s">
        <v>3481</v>
      </c>
      <c r="C295" s="71" t="s">
        <v>4210</v>
      </c>
      <c r="D295" s="71" t="s">
        <v>2856</v>
      </c>
      <c r="E295" s="72">
        <v>88000</v>
      </c>
      <c r="F295" s="73">
        <v>39932</v>
      </c>
      <c r="G295" s="74">
        <v>39960</v>
      </c>
      <c r="H295" s="75">
        <v>39960</v>
      </c>
      <c r="I295" s="71"/>
      <c r="J295" s="71"/>
      <c r="K295" s="71"/>
      <c r="L295" s="76"/>
    </row>
    <row r="296" spans="1:12">
      <c r="A296" s="85" t="s">
        <v>2857</v>
      </c>
      <c r="B296" s="71" t="s">
        <v>4341</v>
      </c>
      <c r="C296" s="71" t="s">
        <v>2858</v>
      </c>
      <c r="D296" s="71" t="s">
        <v>2859</v>
      </c>
      <c r="E296" s="72">
        <v>204878.5</v>
      </c>
      <c r="F296" s="73">
        <v>39912</v>
      </c>
      <c r="G296" s="74">
        <v>39931</v>
      </c>
      <c r="H296" s="75">
        <v>39932</v>
      </c>
      <c r="I296" s="75">
        <v>40127</v>
      </c>
      <c r="J296" s="75">
        <v>40140</v>
      </c>
      <c r="K296" s="71" t="s">
        <v>4079</v>
      </c>
      <c r="L296" s="76"/>
    </row>
    <row r="297" spans="1:12">
      <c r="A297" s="85" t="s">
        <v>2860</v>
      </c>
      <c r="B297" s="71" t="s">
        <v>3481</v>
      </c>
      <c r="C297" s="71" t="s">
        <v>2861</v>
      </c>
      <c r="D297" s="71" t="s">
        <v>2862</v>
      </c>
      <c r="E297" s="72">
        <v>846885</v>
      </c>
      <c r="F297" s="73">
        <v>39932</v>
      </c>
      <c r="G297" s="74">
        <v>40043</v>
      </c>
      <c r="H297" s="75">
        <v>40052</v>
      </c>
      <c r="I297" s="71"/>
      <c r="J297" s="71"/>
      <c r="K297" s="71"/>
      <c r="L297" s="76"/>
    </row>
    <row r="298" spans="1:12">
      <c r="A298" s="85" t="s">
        <v>2863</v>
      </c>
      <c r="B298" s="71" t="s">
        <v>3481</v>
      </c>
      <c r="C298" s="71"/>
      <c r="D298" s="71" t="s">
        <v>2864</v>
      </c>
      <c r="E298" s="72">
        <v>1087643</v>
      </c>
      <c r="F298" s="73">
        <v>39932</v>
      </c>
      <c r="G298" s="74"/>
      <c r="H298" s="75"/>
      <c r="I298" s="71"/>
      <c r="J298" s="71"/>
      <c r="K298" s="71"/>
      <c r="L298" s="76"/>
    </row>
    <row r="299" spans="1:12">
      <c r="A299" s="93">
        <v>39904</v>
      </c>
      <c r="B299" s="71"/>
      <c r="C299" s="71"/>
      <c r="D299" s="71"/>
      <c r="E299" s="72"/>
      <c r="F299" s="73"/>
      <c r="G299" s="74"/>
      <c r="H299" s="75"/>
      <c r="I299" s="71"/>
      <c r="J299" s="71"/>
      <c r="K299" s="71"/>
      <c r="L299" s="76"/>
    </row>
    <row r="300" spans="1:12">
      <c r="A300" s="85" t="s">
        <v>2865</v>
      </c>
      <c r="B300" s="71" t="s">
        <v>4069</v>
      </c>
      <c r="C300" s="71" t="s">
        <v>2866</v>
      </c>
      <c r="D300" s="71" t="s">
        <v>2867</v>
      </c>
      <c r="E300" s="72">
        <v>56376.23</v>
      </c>
      <c r="F300" s="73">
        <v>39904</v>
      </c>
      <c r="G300" s="74">
        <v>39980</v>
      </c>
      <c r="H300" s="75">
        <v>39979</v>
      </c>
      <c r="I300" s="75">
        <v>40210</v>
      </c>
      <c r="J300" s="75">
        <v>40297</v>
      </c>
      <c r="K300" s="71" t="s">
        <v>4079</v>
      </c>
      <c r="L300" s="76"/>
    </row>
    <row r="301" spans="1:12">
      <c r="A301" s="85" t="s">
        <v>2868</v>
      </c>
      <c r="B301" s="71" t="s">
        <v>4062</v>
      </c>
      <c r="C301" s="71" t="s">
        <v>2869</v>
      </c>
      <c r="D301" s="71" t="s">
        <v>2870</v>
      </c>
      <c r="E301" s="72">
        <v>113000</v>
      </c>
      <c r="F301" s="73">
        <v>39946</v>
      </c>
      <c r="G301" s="74">
        <v>39954</v>
      </c>
      <c r="H301" s="75">
        <v>39955</v>
      </c>
      <c r="I301" s="71"/>
      <c r="J301" s="71"/>
      <c r="K301" s="71"/>
      <c r="L301" s="76"/>
    </row>
    <row r="302" spans="1:12" ht="22.5">
      <c r="A302" s="85" t="s">
        <v>2871</v>
      </c>
      <c r="B302" s="71" t="s">
        <v>4341</v>
      </c>
      <c r="C302" s="71" t="s">
        <v>2872</v>
      </c>
      <c r="D302" s="71" t="s">
        <v>2873</v>
      </c>
      <c r="E302" s="72">
        <v>778742.64</v>
      </c>
      <c r="F302" s="73">
        <v>39933</v>
      </c>
      <c r="G302" s="74">
        <v>39959</v>
      </c>
      <c r="H302" s="75">
        <v>39961</v>
      </c>
      <c r="I302" s="75">
        <v>40260</v>
      </c>
      <c r="J302" s="75">
        <v>40288</v>
      </c>
      <c r="K302" s="71" t="s">
        <v>4079</v>
      </c>
      <c r="L302" s="76"/>
    </row>
    <row r="303" spans="1:12" ht="22.5">
      <c r="A303" s="85" t="s">
        <v>2874</v>
      </c>
      <c r="B303" s="71" t="s">
        <v>4133</v>
      </c>
      <c r="C303" s="71" t="s">
        <v>2875</v>
      </c>
      <c r="D303" s="71" t="s">
        <v>2876</v>
      </c>
      <c r="E303" s="72">
        <v>2547865</v>
      </c>
      <c r="F303" s="73">
        <v>39967</v>
      </c>
      <c r="G303" s="74">
        <v>40149</v>
      </c>
      <c r="H303" s="75">
        <v>40162</v>
      </c>
      <c r="I303" s="71"/>
      <c r="J303" s="71"/>
      <c r="K303" s="71"/>
      <c r="L303" s="76" t="s">
        <v>2877</v>
      </c>
    </row>
    <row r="304" spans="1:12">
      <c r="A304" s="85" t="s">
        <v>2878</v>
      </c>
      <c r="B304" s="71" t="s">
        <v>4038</v>
      </c>
      <c r="C304" s="71" t="s">
        <v>2879</v>
      </c>
      <c r="D304" s="71" t="s">
        <v>2880</v>
      </c>
      <c r="E304" s="72">
        <v>42300000</v>
      </c>
      <c r="F304" s="73">
        <v>39940</v>
      </c>
      <c r="G304" s="74">
        <v>39954</v>
      </c>
      <c r="H304" s="75">
        <v>39955</v>
      </c>
      <c r="I304" s="71"/>
      <c r="J304" s="71"/>
      <c r="K304" s="71"/>
      <c r="L304" s="76"/>
    </row>
    <row r="305" spans="1:12">
      <c r="A305" s="85" t="s">
        <v>2881</v>
      </c>
      <c r="B305" s="71" t="s">
        <v>4089</v>
      </c>
      <c r="C305" s="71" t="s">
        <v>2882</v>
      </c>
      <c r="D305" s="71" t="s">
        <v>2883</v>
      </c>
      <c r="E305" s="72">
        <v>13174507</v>
      </c>
      <c r="F305" s="73">
        <v>39947</v>
      </c>
      <c r="G305" s="74">
        <v>40001</v>
      </c>
      <c r="H305" s="75">
        <v>40056</v>
      </c>
      <c r="I305" s="71"/>
      <c r="J305" s="71"/>
      <c r="K305" s="71"/>
      <c r="L305" s="76"/>
    </row>
    <row r="306" spans="1:12">
      <c r="A306" s="85" t="s">
        <v>2884</v>
      </c>
      <c r="B306" s="71" t="s">
        <v>4056</v>
      </c>
      <c r="C306" s="71" t="s">
        <v>4096</v>
      </c>
      <c r="D306" s="71" t="s">
        <v>2885</v>
      </c>
      <c r="E306" s="72">
        <v>2741000</v>
      </c>
      <c r="F306" s="73">
        <v>40002</v>
      </c>
      <c r="G306" s="74">
        <v>40029</v>
      </c>
      <c r="H306" s="75">
        <v>40036</v>
      </c>
      <c r="I306" s="71"/>
      <c r="J306" s="71"/>
      <c r="K306" s="71"/>
      <c r="L306" s="76"/>
    </row>
    <row r="307" spans="1:12">
      <c r="A307" s="85" t="s">
        <v>2886</v>
      </c>
      <c r="B307" s="71" t="s">
        <v>4133</v>
      </c>
      <c r="C307" s="71" t="s">
        <v>2561</v>
      </c>
      <c r="D307" s="71" t="s">
        <v>2887</v>
      </c>
      <c r="E307" s="72"/>
      <c r="F307" s="73">
        <v>39979</v>
      </c>
      <c r="G307" s="74"/>
      <c r="H307" s="75"/>
      <c r="I307" s="71"/>
      <c r="J307" s="71"/>
      <c r="K307" s="71" t="s">
        <v>4049</v>
      </c>
      <c r="L307" s="76"/>
    </row>
    <row r="308" spans="1:12">
      <c r="A308" s="85" t="s">
        <v>2888</v>
      </c>
      <c r="B308" s="71" t="s">
        <v>4128</v>
      </c>
      <c r="C308" s="71" t="s">
        <v>4354</v>
      </c>
      <c r="D308" s="71" t="s">
        <v>2889</v>
      </c>
      <c r="E308" s="72">
        <v>694952.47</v>
      </c>
      <c r="F308" s="73">
        <v>39945</v>
      </c>
      <c r="G308" s="74">
        <v>39973</v>
      </c>
      <c r="H308" s="75">
        <v>39973</v>
      </c>
      <c r="I308" s="71"/>
      <c r="J308" s="71"/>
      <c r="K308" s="71"/>
      <c r="L308" s="76"/>
    </row>
    <row r="309" spans="1:12">
      <c r="A309" s="85" t="s">
        <v>2890</v>
      </c>
      <c r="B309" s="71" t="s">
        <v>4069</v>
      </c>
      <c r="C309" s="71" t="s">
        <v>2891</v>
      </c>
      <c r="D309" s="71" t="s">
        <v>2892</v>
      </c>
      <c r="E309" s="72">
        <v>755559.69</v>
      </c>
      <c r="F309" s="73">
        <v>39965</v>
      </c>
      <c r="G309" s="74">
        <v>39966</v>
      </c>
      <c r="H309" s="75">
        <v>39966</v>
      </c>
      <c r="I309" s="75">
        <v>40154</v>
      </c>
      <c r="J309" s="75">
        <v>40169</v>
      </c>
      <c r="K309" s="71" t="s">
        <v>4079</v>
      </c>
      <c r="L309" s="76"/>
    </row>
    <row r="310" spans="1:12">
      <c r="A310" s="85" t="s">
        <v>2893</v>
      </c>
      <c r="B310" s="71" t="s">
        <v>2853</v>
      </c>
      <c r="C310" s="71" t="s">
        <v>2894</v>
      </c>
      <c r="D310" s="71" t="s">
        <v>2895</v>
      </c>
      <c r="E310" s="72"/>
      <c r="F310" s="73">
        <v>39953</v>
      </c>
      <c r="G310" s="74"/>
      <c r="H310" s="75"/>
      <c r="I310" s="71"/>
      <c r="J310" s="71"/>
      <c r="K310" s="71"/>
      <c r="L310" s="76"/>
    </row>
    <row r="311" spans="1:12">
      <c r="A311" s="85" t="s">
        <v>2896</v>
      </c>
      <c r="B311" s="71" t="s">
        <v>2897</v>
      </c>
      <c r="C311" s="71" t="s">
        <v>2898</v>
      </c>
      <c r="D311" s="71" t="s">
        <v>2899</v>
      </c>
      <c r="E311" s="72">
        <v>136556.29999999999</v>
      </c>
      <c r="F311" s="73">
        <v>39951</v>
      </c>
      <c r="G311" s="74">
        <v>39980</v>
      </c>
      <c r="H311" s="75">
        <v>39618</v>
      </c>
      <c r="I311" s="71"/>
      <c r="J311" s="71"/>
      <c r="K311" s="71"/>
      <c r="L311" s="76"/>
    </row>
    <row r="312" spans="1:12">
      <c r="A312" s="85" t="s">
        <v>2900</v>
      </c>
      <c r="B312" s="71" t="s">
        <v>4069</v>
      </c>
      <c r="C312" s="71" t="s">
        <v>2584</v>
      </c>
      <c r="D312" s="71" t="s">
        <v>2901</v>
      </c>
      <c r="E312" s="72">
        <v>70000</v>
      </c>
      <c r="F312" s="73">
        <v>39940</v>
      </c>
      <c r="G312" s="74"/>
      <c r="H312" s="75"/>
      <c r="I312" s="71"/>
      <c r="J312" s="71"/>
      <c r="K312" s="71" t="s">
        <v>4049</v>
      </c>
      <c r="L312" s="76"/>
    </row>
    <row r="313" spans="1:12">
      <c r="A313" s="85" t="s">
        <v>2902</v>
      </c>
      <c r="B313" s="71" t="s">
        <v>3481</v>
      </c>
      <c r="C313" s="71" t="s">
        <v>2903</v>
      </c>
      <c r="D313" s="71" t="s">
        <v>2904</v>
      </c>
      <c r="E313" s="72">
        <v>12954811</v>
      </c>
      <c r="F313" s="73">
        <v>39934</v>
      </c>
      <c r="G313" s="74">
        <v>40092</v>
      </c>
      <c r="H313" s="75">
        <v>40098</v>
      </c>
      <c r="I313" s="71"/>
      <c r="J313" s="71"/>
      <c r="K313" s="71"/>
      <c r="L313" s="76"/>
    </row>
    <row r="314" spans="1:12">
      <c r="A314" s="85" t="s">
        <v>2905</v>
      </c>
      <c r="B314" s="71" t="s">
        <v>4066</v>
      </c>
      <c r="C314" s="71"/>
      <c r="D314" s="71" t="s">
        <v>2906</v>
      </c>
      <c r="E314" s="72">
        <v>500000</v>
      </c>
      <c r="F314" s="73">
        <v>39966</v>
      </c>
      <c r="G314" s="74"/>
      <c r="H314" s="75"/>
      <c r="I314" s="71"/>
      <c r="J314" s="71"/>
      <c r="K314" s="71"/>
      <c r="L314" s="76"/>
    </row>
    <row r="315" spans="1:12">
      <c r="A315" s="85" t="s">
        <v>2907</v>
      </c>
      <c r="B315" s="71" t="s">
        <v>4442</v>
      </c>
      <c r="C315" s="71" t="s">
        <v>2908</v>
      </c>
      <c r="D315" s="71" t="s">
        <v>2909</v>
      </c>
      <c r="E315" s="72">
        <v>174338</v>
      </c>
      <c r="F315" s="73">
        <v>39980</v>
      </c>
      <c r="G315" s="74">
        <v>40001</v>
      </c>
      <c r="H315" s="75">
        <v>40133</v>
      </c>
      <c r="I315" s="71"/>
      <c r="J315" s="71"/>
      <c r="K315" s="71"/>
      <c r="L315" s="76"/>
    </row>
    <row r="316" spans="1:12" ht="22.5">
      <c r="A316" s="85" t="s">
        <v>2910</v>
      </c>
      <c r="B316" s="71" t="s">
        <v>2724</v>
      </c>
      <c r="C316" s="71" t="s">
        <v>2911</v>
      </c>
      <c r="D316" s="71" t="s">
        <v>2912</v>
      </c>
      <c r="E316" s="72">
        <v>575000</v>
      </c>
      <c r="F316" s="73">
        <v>39967</v>
      </c>
      <c r="G316" s="74">
        <v>39973</v>
      </c>
      <c r="H316" s="75">
        <v>40045</v>
      </c>
      <c r="I316" s="71"/>
      <c r="J316" s="71"/>
      <c r="K316" s="71"/>
      <c r="L316" s="76"/>
    </row>
    <row r="317" spans="1:12">
      <c r="A317" s="85" t="s">
        <v>2913</v>
      </c>
      <c r="B317" s="71" t="s">
        <v>4137</v>
      </c>
      <c r="C317" s="71" t="s">
        <v>2914</v>
      </c>
      <c r="D317" s="71" t="s">
        <v>2915</v>
      </c>
      <c r="E317" s="72">
        <v>2064915.69</v>
      </c>
      <c r="F317" s="73">
        <v>39857</v>
      </c>
      <c r="G317" s="74">
        <v>39875</v>
      </c>
      <c r="H317" s="75">
        <v>39925</v>
      </c>
      <c r="I317" s="75">
        <v>40060</v>
      </c>
      <c r="J317" s="75">
        <v>40297</v>
      </c>
      <c r="K317" s="71" t="s">
        <v>4079</v>
      </c>
      <c r="L317" s="76"/>
    </row>
    <row r="318" spans="1:12">
      <c r="A318" s="85" t="s">
        <v>2916</v>
      </c>
      <c r="B318" s="71" t="s">
        <v>4341</v>
      </c>
      <c r="C318" s="71" t="s">
        <v>2917</v>
      </c>
      <c r="D318" s="71" t="s">
        <v>2918</v>
      </c>
      <c r="E318" s="72">
        <v>383100</v>
      </c>
      <c r="F318" s="73">
        <v>39961</v>
      </c>
      <c r="G318" s="74">
        <v>39973</v>
      </c>
      <c r="H318" s="75">
        <v>39974</v>
      </c>
      <c r="I318" s="75">
        <v>40211</v>
      </c>
      <c r="J318" s="75">
        <v>40211</v>
      </c>
      <c r="K318" s="71" t="s">
        <v>4079</v>
      </c>
      <c r="L318" s="76"/>
    </row>
    <row r="319" spans="1:12">
      <c r="A319" s="85" t="s">
        <v>2919</v>
      </c>
      <c r="B319" s="71" t="s">
        <v>4069</v>
      </c>
      <c r="C319" s="71" t="s">
        <v>2584</v>
      </c>
      <c r="D319" s="71" t="s">
        <v>2920</v>
      </c>
      <c r="E319" s="72">
        <v>78600</v>
      </c>
      <c r="F319" s="73">
        <v>39934</v>
      </c>
      <c r="G319" s="74">
        <v>39965</v>
      </c>
      <c r="H319" s="75"/>
      <c r="I319" s="75">
        <v>40226</v>
      </c>
      <c r="J319" s="75">
        <v>40235</v>
      </c>
      <c r="K319" s="71" t="s">
        <v>4079</v>
      </c>
      <c r="L319" s="76"/>
    </row>
    <row r="320" spans="1:12">
      <c r="A320" s="85" t="s">
        <v>2921</v>
      </c>
      <c r="B320" s="71" t="s">
        <v>4128</v>
      </c>
      <c r="C320" s="71" t="s">
        <v>2922</v>
      </c>
      <c r="D320" s="71" t="s">
        <v>2923</v>
      </c>
      <c r="E320" s="72">
        <v>245980000</v>
      </c>
      <c r="F320" s="73">
        <v>39443</v>
      </c>
      <c r="G320" s="74">
        <v>39939</v>
      </c>
      <c r="H320" s="75">
        <v>39940</v>
      </c>
      <c r="I320" s="71"/>
      <c r="J320" s="71"/>
      <c r="K320" s="71"/>
      <c r="L320" s="76"/>
    </row>
    <row r="321" spans="1:12" ht="22.5">
      <c r="A321" s="85" t="s">
        <v>2924</v>
      </c>
      <c r="B321" s="71" t="s">
        <v>3481</v>
      </c>
      <c r="C321" s="71" t="s">
        <v>2925</v>
      </c>
      <c r="D321" s="71" t="s">
        <v>2926</v>
      </c>
      <c r="E321" s="72">
        <v>219700</v>
      </c>
      <c r="F321" s="73">
        <v>39965</v>
      </c>
      <c r="G321" s="74">
        <v>40015</v>
      </c>
      <c r="H321" s="75">
        <v>40052</v>
      </c>
      <c r="I321" s="71"/>
      <c r="J321" s="71"/>
      <c r="K321" s="71"/>
      <c r="L321" s="76"/>
    </row>
    <row r="322" spans="1:12">
      <c r="A322" s="85" t="s">
        <v>2927</v>
      </c>
      <c r="B322" s="71" t="s">
        <v>4137</v>
      </c>
      <c r="C322" s="71" t="s">
        <v>2928</v>
      </c>
      <c r="D322" s="71" t="s">
        <v>2929</v>
      </c>
      <c r="E322" s="72">
        <v>1342273</v>
      </c>
      <c r="F322" s="73">
        <v>39899</v>
      </c>
      <c r="G322" s="74">
        <v>39934</v>
      </c>
      <c r="H322" s="75">
        <v>39937</v>
      </c>
      <c r="I322" s="71"/>
      <c r="J322" s="71"/>
      <c r="K322" s="71"/>
      <c r="L322" s="76"/>
    </row>
    <row r="323" spans="1:12" ht="22.5">
      <c r="A323" s="85" t="s">
        <v>2930</v>
      </c>
      <c r="B323" s="71" t="s">
        <v>4133</v>
      </c>
      <c r="C323" s="71" t="s">
        <v>2931</v>
      </c>
      <c r="D323" s="71" t="s">
        <v>2932</v>
      </c>
      <c r="E323" s="72">
        <v>249948.44</v>
      </c>
      <c r="F323" s="73">
        <v>39974</v>
      </c>
      <c r="G323" s="74">
        <v>40058</v>
      </c>
      <c r="H323" s="75">
        <v>40162</v>
      </c>
      <c r="I323" s="71"/>
      <c r="J323" s="71"/>
      <c r="K323" s="71"/>
      <c r="L323" s="76"/>
    </row>
    <row r="324" spans="1:12">
      <c r="A324" s="85" t="s">
        <v>2933</v>
      </c>
      <c r="B324" s="71" t="s">
        <v>3481</v>
      </c>
      <c r="C324" s="71" t="s">
        <v>2561</v>
      </c>
      <c r="D324" s="71" t="s">
        <v>2934</v>
      </c>
      <c r="E324" s="72"/>
      <c r="F324" s="73">
        <v>39965</v>
      </c>
      <c r="G324" s="74"/>
      <c r="H324" s="75"/>
      <c r="I324" s="71"/>
      <c r="J324" s="71"/>
      <c r="K324" s="71"/>
      <c r="L324" s="76"/>
    </row>
    <row r="325" spans="1:12">
      <c r="A325" s="85" t="s">
        <v>2935</v>
      </c>
      <c r="B325" s="71" t="s">
        <v>2936</v>
      </c>
      <c r="C325" s="71" t="s">
        <v>2561</v>
      </c>
      <c r="D325" s="71" t="s">
        <v>2937</v>
      </c>
      <c r="E325" s="72"/>
      <c r="F325" s="73">
        <v>39960</v>
      </c>
      <c r="G325" s="74"/>
      <c r="H325" s="75"/>
      <c r="I325" s="71"/>
      <c r="J325" s="71"/>
      <c r="K325" s="71" t="s">
        <v>4315</v>
      </c>
      <c r="L325" s="76"/>
    </row>
    <row r="326" spans="1:12">
      <c r="A326" s="94">
        <v>39942</v>
      </c>
      <c r="B326" s="71"/>
      <c r="C326" s="71"/>
      <c r="D326" s="71"/>
      <c r="E326" s="72"/>
      <c r="F326" s="73"/>
      <c r="G326" s="74"/>
      <c r="H326" s="75"/>
      <c r="I326" s="71"/>
      <c r="J326" s="71"/>
      <c r="K326" s="71"/>
      <c r="L326" s="76"/>
    </row>
    <row r="327" spans="1:12">
      <c r="A327" s="95" t="s">
        <v>2938</v>
      </c>
      <c r="B327" s="71" t="s">
        <v>4264</v>
      </c>
      <c r="C327" s="71" t="s">
        <v>2939</v>
      </c>
      <c r="D327" s="71" t="s">
        <v>2940</v>
      </c>
      <c r="E327" s="72">
        <v>119900</v>
      </c>
      <c r="F327" s="73">
        <v>39962</v>
      </c>
      <c r="G327" s="74">
        <v>39990</v>
      </c>
      <c r="H327" s="75">
        <v>39990</v>
      </c>
      <c r="I327" s="75">
        <v>40095</v>
      </c>
      <c r="J327" s="75">
        <v>40148</v>
      </c>
      <c r="K327" s="71" t="s">
        <v>4079</v>
      </c>
      <c r="L327" s="76"/>
    </row>
    <row r="328" spans="1:12">
      <c r="A328" s="85" t="s">
        <v>2941</v>
      </c>
      <c r="B328" s="71" t="s">
        <v>4264</v>
      </c>
      <c r="C328" s="71" t="s">
        <v>2914</v>
      </c>
      <c r="D328" s="71" t="s">
        <v>2942</v>
      </c>
      <c r="E328" s="72">
        <v>361012</v>
      </c>
      <c r="F328" s="73">
        <v>39962</v>
      </c>
      <c r="G328" s="74">
        <v>39994</v>
      </c>
      <c r="H328" s="75">
        <v>40003</v>
      </c>
      <c r="I328" s="75">
        <v>40136</v>
      </c>
      <c r="J328" s="75">
        <v>40161</v>
      </c>
      <c r="K328" s="71" t="s">
        <v>4079</v>
      </c>
      <c r="L328" s="76"/>
    </row>
    <row r="329" spans="1:12">
      <c r="A329" s="85" t="s">
        <v>2943</v>
      </c>
      <c r="B329" s="71" t="s">
        <v>4128</v>
      </c>
      <c r="C329" s="71" t="s">
        <v>2903</v>
      </c>
      <c r="D329" s="71" t="s">
        <v>2944</v>
      </c>
      <c r="E329" s="72">
        <v>1856277.1</v>
      </c>
      <c r="F329" s="73">
        <v>39965</v>
      </c>
      <c r="G329" s="74">
        <v>40030</v>
      </c>
      <c r="H329" s="75">
        <v>40050</v>
      </c>
      <c r="I329" s="71"/>
      <c r="J329" s="71"/>
      <c r="K329" s="71"/>
      <c r="L329" s="76"/>
    </row>
    <row r="330" spans="1:12">
      <c r="A330" s="85" t="s">
        <v>2945</v>
      </c>
      <c r="B330" s="71" t="s">
        <v>4089</v>
      </c>
      <c r="C330" s="71" t="s">
        <v>2946</v>
      </c>
      <c r="D330" s="71" t="s">
        <v>2947</v>
      </c>
      <c r="E330" s="72">
        <v>96245</v>
      </c>
      <c r="F330" s="73">
        <v>39979</v>
      </c>
      <c r="G330" s="74">
        <v>40060</v>
      </c>
      <c r="H330" s="75">
        <v>40134</v>
      </c>
      <c r="I330" s="71"/>
      <c r="J330" s="71"/>
      <c r="K330" s="71"/>
      <c r="L330" s="76"/>
    </row>
    <row r="331" spans="1:12" ht="22.5">
      <c r="A331" s="85" t="s">
        <v>2948</v>
      </c>
      <c r="B331" s="71" t="s">
        <v>4186</v>
      </c>
      <c r="C331" s="71" t="s">
        <v>2949</v>
      </c>
      <c r="D331" s="71" t="s">
        <v>2950</v>
      </c>
      <c r="E331" s="72">
        <v>256953.32</v>
      </c>
      <c r="F331" s="73">
        <v>39954</v>
      </c>
      <c r="G331" s="74">
        <v>39989</v>
      </c>
      <c r="H331" s="75">
        <v>40000</v>
      </c>
      <c r="I331" s="75">
        <v>40079</v>
      </c>
      <c r="J331" s="75">
        <v>40084</v>
      </c>
      <c r="K331" s="71" t="s">
        <v>4079</v>
      </c>
      <c r="L331" s="76"/>
    </row>
    <row r="332" spans="1:12">
      <c r="A332" s="85" t="s">
        <v>2951</v>
      </c>
      <c r="B332" s="71" t="s">
        <v>3481</v>
      </c>
      <c r="C332" s="71" t="s">
        <v>2584</v>
      </c>
      <c r="D332" s="71" t="s">
        <v>2952</v>
      </c>
      <c r="E332" s="72">
        <v>120000</v>
      </c>
      <c r="F332" s="73">
        <v>39965</v>
      </c>
      <c r="G332" s="74"/>
      <c r="H332" s="75"/>
      <c r="I332" s="71"/>
      <c r="J332" s="71"/>
      <c r="K332" s="71" t="s">
        <v>4049</v>
      </c>
      <c r="L332" s="76"/>
    </row>
    <row r="333" spans="1:12">
      <c r="A333" s="85" t="s">
        <v>2953</v>
      </c>
      <c r="B333" s="71" t="s">
        <v>4133</v>
      </c>
      <c r="C333" s="71" t="s">
        <v>4187</v>
      </c>
      <c r="D333" s="71" t="s">
        <v>2954</v>
      </c>
      <c r="E333" s="72">
        <v>1400000</v>
      </c>
      <c r="F333" s="73">
        <v>39954</v>
      </c>
      <c r="G333" s="74">
        <v>40058</v>
      </c>
      <c r="H333" s="75">
        <v>40135</v>
      </c>
      <c r="I333" s="75">
        <v>40214</v>
      </c>
      <c r="J333" s="75">
        <v>40386</v>
      </c>
      <c r="K333" s="71" t="s">
        <v>4079</v>
      </c>
      <c r="L333" s="76"/>
    </row>
    <row r="334" spans="1:12">
      <c r="A334" s="85" t="s">
        <v>2955</v>
      </c>
      <c r="B334" s="71" t="s">
        <v>4128</v>
      </c>
      <c r="C334" s="71" t="s">
        <v>2956</v>
      </c>
      <c r="D334" s="71" t="s">
        <v>2957</v>
      </c>
      <c r="E334" s="72"/>
      <c r="F334" s="73">
        <v>39959</v>
      </c>
      <c r="G334" s="74"/>
      <c r="H334" s="75"/>
      <c r="I334" s="71"/>
      <c r="J334" s="71"/>
      <c r="K334" s="71"/>
      <c r="L334" s="76"/>
    </row>
    <row r="335" spans="1:12">
      <c r="A335" s="85" t="s">
        <v>2958</v>
      </c>
      <c r="B335" s="71" t="s">
        <v>4128</v>
      </c>
      <c r="C335" s="71" t="s">
        <v>2959</v>
      </c>
      <c r="D335" s="71" t="s">
        <v>2960</v>
      </c>
      <c r="E335" s="72">
        <v>10982831.5</v>
      </c>
      <c r="F335" s="73">
        <v>40059</v>
      </c>
      <c r="G335" s="74">
        <v>40107</v>
      </c>
      <c r="H335" s="75">
        <v>40108</v>
      </c>
      <c r="I335" s="71"/>
      <c r="J335" s="71"/>
      <c r="K335" s="71"/>
      <c r="L335" s="76"/>
    </row>
    <row r="336" spans="1:12">
      <c r="A336" s="85" t="s">
        <v>2961</v>
      </c>
      <c r="B336" s="71" t="s">
        <v>3481</v>
      </c>
      <c r="C336" s="71" t="s">
        <v>4049</v>
      </c>
      <c r="D336" s="71" t="s">
        <v>2962</v>
      </c>
      <c r="E336" s="72"/>
      <c r="F336" s="73">
        <v>39896</v>
      </c>
      <c r="G336" s="74"/>
      <c r="H336" s="75"/>
      <c r="I336" s="71"/>
      <c r="J336" s="71"/>
      <c r="K336" s="71" t="s">
        <v>4049</v>
      </c>
      <c r="L336" s="76"/>
    </row>
    <row r="337" spans="1:12">
      <c r="A337" s="85" t="s">
        <v>2963</v>
      </c>
      <c r="B337" s="71" t="s">
        <v>4411</v>
      </c>
      <c r="C337" s="71" t="s">
        <v>2964</v>
      </c>
      <c r="D337" s="71" t="s">
        <v>2965</v>
      </c>
      <c r="E337" s="72">
        <v>2598530</v>
      </c>
      <c r="F337" s="73">
        <v>40002</v>
      </c>
      <c r="G337" s="74">
        <v>40017</v>
      </c>
      <c r="H337" s="75">
        <v>40023</v>
      </c>
      <c r="I337" s="71"/>
      <c r="J337" s="71"/>
      <c r="K337" s="71"/>
      <c r="L337" s="76"/>
    </row>
    <row r="338" spans="1:12">
      <c r="A338" s="85" t="s">
        <v>2966</v>
      </c>
      <c r="B338" s="71" t="s">
        <v>4128</v>
      </c>
      <c r="C338" s="71" t="s">
        <v>2967</v>
      </c>
      <c r="D338" s="71" t="s">
        <v>2968</v>
      </c>
      <c r="E338" s="72">
        <v>141969</v>
      </c>
      <c r="F338" s="73">
        <v>39987</v>
      </c>
      <c r="G338" s="74">
        <v>39995</v>
      </c>
      <c r="H338" s="75">
        <v>39996</v>
      </c>
      <c r="I338" s="71"/>
      <c r="J338" s="71"/>
      <c r="K338" s="71"/>
      <c r="L338" s="76"/>
    </row>
    <row r="339" spans="1:12">
      <c r="A339" s="85" t="s">
        <v>2969</v>
      </c>
      <c r="B339" s="71" t="s">
        <v>4062</v>
      </c>
      <c r="C339" s="71" t="s">
        <v>4187</v>
      </c>
      <c r="D339" s="71" t="s">
        <v>2970</v>
      </c>
      <c r="E339" s="72">
        <v>908852</v>
      </c>
      <c r="F339" s="73">
        <v>39982</v>
      </c>
      <c r="G339" s="74">
        <v>39989</v>
      </c>
      <c r="H339" s="75">
        <v>39990</v>
      </c>
      <c r="I339" s="71"/>
      <c r="J339" s="71"/>
      <c r="K339" s="71"/>
      <c r="L339" s="76"/>
    </row>
    <row r="340" spans="1:12">
      <c r="A340" s="85" t="s">
        <v>2971</v>
      </c>
      <c r="B340" s="71" t="s">
        <v>4435</v>
      </c>
      <c r="C340" s="71" t="s">
        <v>2972</v>
      </c>
      <c r="D340" s="71" t="s">
        <v>2973</v>
      </c>
      <c r="E340" s="72">
        <v>85240</v>
      </c>
      <c r="F340" s="73">
        <v>40000</v>
      </c>
      <c r="G340" s="74">
        <v>40043</v>
      </c>
      <c r="H340" s="75">
        <v>40157</v>
      </c>
      <c r="I340" s="71"/>
      <c r="J340" s="71"/>
      <c r="K340" s="71"/>
      <c r="L340" s="76"/>
    </row>
    <row r="341" spans="1:12">
      <c r="A341" s="85" t="s">
        <v>2974</v>
      </c>
      <c r="B341" s="71" t="s">
        <v>4435</v>
      </c>
      <c r="C341" s="71" t="s">
        <v>2975</v>
      </c>
      <c r="D341" s="71" t="s">
        <v>2976</v>
      </c>
      <c r="E341" s="72">
        <v>426012.65</v>
      </c>
      <c r="F341" s="73">
        <v>39972</v>
      </c>
      <c r="G341" s="74">
        <v>39982</v>
      </c>
      <c r="H341" s="75">
        <v>40157</v>
      </c>
      <c r="I341" s="71"/>
      <c r="J341" s="71"/>
      <c r="K341" s="71"/>
      <c r="L341" s="76"/>
    </row>
    <row r="342" spans="1:12">
      <c r="A342" s="85" t="s">
        <v>2977</v>
      </c>
      <c r="B342" s="71" t="s">
        <v>4435</v>
      </c>
      <c r="C342" s="71" t="s">
        <v>2972</v>
      </c>
      <c r="D342" s="71" t="s">
        <v>2978</v>
      </c>
      <c r="E342" s="72">
        <v>201300</v>
      </c>
      <c r="F342" s="73">
        <v>40000</v>
      </c>
      <c r="G342" s="74">
        <v>40043</v>
      </c>
      <c r="H342" s="75">
        <v>40157</v>
      </c>
      <c r="I342" s="71"/>
      <c r="J342" s="71"/>
      <c r="K342" s="71"/>
      <c r="L342" s="76"/>
    </row>
    <row r="343" spans="1:12">
      <c r="A343" s="85" t="s">
        <v>2979</v>
      </c>
      <c r="B343" s="71" t="s">
        <v>3481</v>
      </c>
      <c r="C343" s="71" t="s">
        <v>2980</v>
      </c>
      <c r="D343" s="71" t="s">
        <v>2981</v>
      </c>
      <c r="E343" s="72">
        <v>296911</v>
      </c>
      <c r="F343" s="73">
        <v>39965</v>
      </c>
      <c r="G343" s="74">
        <v>39974</v>
      </c>
      <c r="H343" s="75">
        <v>40133</v>
      </c>
      <c r="I343" s="71"/>
      <c r="J343" s="71"/>
      <c r="K343" s="71"/>
      <c r="L343" s="76"/>
    </row>
    <row r="344" spans="1:12" ht="22.5">
      <c r="A344" s="85" t="s">
        <v>2982</v>
      </c>
      <c r="B344" s="71" t="s">
        <v>3481</v>
      </c>
      <c r="C344" s="71" t="s">
        <v>4187</v>
      </c>
      <c r="D344" s="71" t="s">
        <v>2983</v>
      </c>
      <c r="E344" s="72">
        <v>219450</v>
      </c>
      <c r="F344" s="73">
        <v>39975</v>
      </c>
      <c r="G344" s="74">
        <v>40001</v>
      </c>
      <c r="H344" s="75">
        <v>40004</v>
      </c>
      <c r="I344" s="75">
        <v>40071</v>
      </c>
      <c r="J344" s="75">
        <v>40098</v>
      </c>
      <c r="K344" s="71" t="s">
        <v>4079</v>
      </c>
      <c r="L344" s="76"/>
    </row>
    <row r="345" spans="1:12" ht="22.5">
      <c r="A345" s="85" t="s">
        <v>2984</v>
      </c>
      <c r="B345" s="71" t="s">
        <v>4062</v>
      </c>
      <c r="C345" s="71" t="s">
        <v>2587</v>
      </c>
      <c r="D345" s="71" t="s">
        <v>2985</v>
      </c>
      <c r="E345" s="72">
        <v>313200</v>
      </c>
      <c r="F345" s="73">
        <v>39969</v>
      </c>
      <c r="G345" s="74">
        <v>39989</v>
      </c>
      <c r="H345" s="75">
        <v>39990</v>
      </c>
      <c r="I345" s="71"/>
      <c r="J345" s="71"/>
      <c r="K345" s="71"/>
      <c r="L345" s="76"/>
    </row>
    <row r="346" spans="1:12">
      <c r="A346" s="85" t="s">
        <v>2986</v>
      </c>
      <c r="B346" s="71" t="s">
        <v>4062</v>
      </c>
      <c r="C346" s="71" t="s">
        <v>4096</v>
      </c>
      <c r="D346" s="71" t="s">
        <v>2987</v>
      </c>
      <c r="E346" s="72">
        <v>560000</v>
      </c>
      <c r="F346" s="73">
        <v>39969</v>
      </c>
      <c r="G346" s="74">
        <v>39989</v>
      </c>
      <c r="H346" s="75">
        <v>39990</v>
      </c>
      <c r="I346" s="71"/>
      <c r="J346" s="71"/>
      <c r="K346" s="71"/>
      <c r="L346" s="76"/>
    </row>
    <row r="347" spans="1:12">
      <c r="A347" s="85" t="s">
        <v>2988</v>
      </c>
      <c r="B347" s="71" t="s">
        <v>4089</v>
      </c>
      <c r="C347" s="71" t="s">
        <v>2989</v>
      </c>
      <c r="D347" s="71" t="s">
        <v>2990</v>
      </c>
      <c r="E347" s="72">
        <v>2633086.7799999998</v>
      </c>
      <c r="F347" s="73">
        <v>39980</v>
      </c>
      <c r="G347" s="74">
        <v>40029</v>
      </c>
      <c r="H347" s="75">
        <v>40158</v>
      </c>
      <c r="I347" s="71"/>
      <c r="J347" s="71"/>
      <c r="K347" s="71"/>
      <c r="L347" s="76"/>
    </row>
    <row r="348" spans="1:12">
      <c r="A348" s="85" t="s">
        <v>2991</v>
      </c>
      <c r="B348" s="71" t="s">
        <v>4069</v>
      </c>
      <c r="C348" s="71" t="s">
        <v>2992</v>
      </c>
      <c r="D348" s="71" t="s">
        <v>2993</v>
      </c>
      <c r="E348" s="72"/>
      <c r="F348" s="73">
        <v>40015</v>
      </c>
      <c r="G348" s="74"/>
      <c r="H348" s="75"/>
      <c r="I348" s="71"/>
      <c r="J348" s="71"/>
      <c r="K348" s="71" t="s">
        <v>4049</v>
      </c>
      <c r="L348" s="76"/>
    </row>
    <row r="349" spans="1:12">
      <c r="A349" s="85" t="s">
        <v>2994</v>
      </c>
      <c r="B349" s="71" t="s">
        <v>4066</v>
      </c>
      <c r="C349" s="71" t="s">
        <v>2995</v>
      </c>
      <c r="D349" s="71" t="s">
        <v>2996</v>
      </c>
      <c r="E349" s="72">
        <v>699500</v>
      </c>
      <c r="F349" s="73">
        <v>40003</v>
      </c>
      <c r="G349" s="74">
        <v>40065</v>
      </c>
      <c r="H349" s="75">
        <v>40073</v>
      </c>
      <c r="I349" s="71"/>
      <c r="J349" s="71"/>
      <c r="K349" s="71"/>
      <c r="L349" s="76"/>
    </row>
    <row r="350" spans="1:12">
      <c r="A350" s="85" t="s">
        <v>2997</v>
      </c>
      <c r="B350" s="71" t="s">
        <v>3481</v>
      </c>
      <c r="C350" s="71" t="s">
        <v>2998</v>
      </c>
      <c r="D350" s="71" t="s">
        <v>2999</v>
      </c>
      <c r="E350" s="72"/>
      <c r="F350" s="73">
        <v>39965</v>
      </c>
      <c r="G350" s="74"/>
      <c r="H350" s="75"/>
      <c r="I350" s="75">
        <v>40064</v>
      </c>
      <c r="J350" s="75">
        <v>40065</v>
      </c>
      <c r="K350" s="71" t="s">
        <v>4315</v>
      </c>
      <c r="L350" s="76"/>
    </row>
    <row r="351" spans="1:12">
      <c r="A351" s="85" t="s">
        <v>3000</v>
      </c>
      <c r="B351" s="71" t="s">
        <v>2724</v>
      </c>
      <c r="C351" s="71" t="s">
        <v>3001</v>
      </c>
      <c r="D351" s="71" t="s">
        <v>3002</v>
      </c>
      <c r="E351" s="72">
        <v>3351790</v>
      </c>
      <c r="F351" s="73">
        <v>40038</v>
      </c>
      <c r="G351" s="74">
        <v>40050</v>
      </c>
      <c r="H351" s="75">
        <v>40050</v>
      </c>
      <c r="I351" s="71"/>
      <c r="J351" s="71"/>
      <c r="K351" s="71"/>
      <c r="L351" s="76"/>
    </row>
    <row r="352" spans="1:12">
      <c r="A352" s="85" t="s">
        <v>3003</v>
      </c>
      <c r="B352" s="71" t="s">
        <v>2853</v>
      </c>
      <c r="C352" s="71" t="s">
        <v>3004</v>
      </c>
      <c r="D352" s="71" t="s">
        <v>3005</v>
      </c>
      <c r="E352" s="72">
        <v>297880</v>
      </c>
      <c r="F352" s="73">
        <v>39994</v>
      </c>
      <c r="G352" s="74">
        <v>40018</v>
      </c>
      <c r="H352" s="75" t="s">
        <v>3006</v>
      </c>
      <c r="I352" s="71"/>
      <c r="J352" s="71"/>
      <c r="K352" s="71"/>
      <c r="L352" s="76"/>
    </row>
    <row r="353" spans="1:12">
      <c r="A353" s="85" t="s">
        <v>3007</v>
      </c>
      <c r="B353" s="71" t="s">
        <v>3481</v>
      </c>
      <c r="C353" s="71" t="s">
        <v>3008</v>
      </c>
      <c r="D353" s="71" t="s">
        <v>3009</v>
      </c>
      <c r="E353" s="72"/>
      <c r="F353" s="73">
        <v>39965</v>
      </c>
      <c r="G353" s="74"/>
      <c r="H353" s="75"/>
      <c r="I353" s="71"/>
      <c r="J353" s="71"/>
      <c r="K353" s="71"/>
      <c r="L353" s="76"/>
    </row>
    <row r="354" spans="1:12">
      <c r="A354" s="85" t="s">
        <v>3010</v>
      </c>
      <c r="B354" s="71" t="s">
        <v>2853</v>
      </c>
      <c r="C354" s="71" t="s">
        <v>3011</v>
      </c>
      <c r="D354" s="71" t="s">
        <v>3012</v>
      </c>
      <c r="E354" s="72">
        <v>165167.12</v>
      </c>
      <c r="F354" s="73">
        <v>39989</v>
      </c>
      <c r="G354" s="74">
        <v>40017</v>
      </c>
      <c r="H354" s="75">
        <v>40130</v>
      </c>
      <c r="I354" s="71"/>
      <c r="J354" s="71"/>
      <c r="K354" s="71"/>
      <c r="L354" s="76"/>
    </row>
    <row r="355" spans="1:12">
      <c r="A355" s="85" t="s">
        <v>3013</v>
      </c>
      <c r="B355" s="71" t="s">
        <v>4147</v>
      </c>
      <c r="C355" s="71"/>
      <c r="D355" s="71" t="s">
        <v>3014</v>
      </c>
      <c r="E355" s="72">
        <v>2250000</v>
      </c>
      <c r="F355" s="73">
        <v>39989</v>
      </c>
      <c r="G355" s="74"/>
      <c r="H355" s="75"/>
      <c r="I355" s="71"/>
      <c r="J355" s="71"/>
      <c r="K355" s="71"/>
      <c r="L355" s="76"/>
    </row>
    <row r="356" spans="1:12">
      <c r="A356" s="85" t="s">
        <v>3015</v>
      </c>
      <c r="B356" s="71" t="s">
        <v>4062</v>
      </c>
      <c r="C356" s="71" t="s">
        <v>3016</v>
      </c>
      <c r="D356" s="71" t="s">
        <v>3017</v>
      </c>
      <c r="E356" s="72">
        <v>4983756</v>
      </c>
      <c r="F356" s="73">
        <v>39988</v>
      </c>
      <c r="G356" s="74">
        <v>40003</v>
      </c>
      <c r="H356" s="75">
        <v>40004</v>
      </c>
      <c r="I356" s="71"/>
      <c r="J356" s="71"/>
      <c r="K356" s="71"/>
      <c r="L356" s="76"/>
    </row>
    <row r="357" spans="1:12" ht="22.5">
      <c r="A357" s="85" t="s">
        <v>3018</v>
      </c>
      <c r="B357" s="71" t="s">
        <v>4133</v>
      </c>
      <c r="C357" s="71" t="s">
        <v>3019</v>
      </c>
      <c r="D357" s="71" t="s">
        <v>3020</v>
      </c>
      <c r="E357" s="72">
        <v>1135263.3500000001</v>
      </c>
      <c r="F357" s="73">
        <v>40011</v>
      </c>
      <c r="G357" s="74">
        <v>40107</v>
      </c>
      <c r="H357" s="75">
        <v>40135</v>
      </c>
      <c r="I357" s="71"/>
      <c r="J357" s="71"/>
      <c r="K357" s="71"/>
      <c r="L357" s="76"/>
    </row>
    <row r="358" spans="1:12">
      <c r="A358" s="85" t="s">
        <v>3021</v>
      </c>
      <c r="B358" s="71" t="s">
        <v>4069</v>
      </c>
      <c r="C358" s="71" t="s">
        <v>3022</v>
      </c>
      <c r="D358" s="71" t="s">
        <v>3023</v>
      </c>
      <c r="E358" s="72">
        <v>397270</v>
      </c>
      <c r="F358" s="73">
        <v>39989</v>
      </c>
      <c r="G358" s="74">
        <v>40071</v>
      </c>
      <c r="H358" s="75">
        <v>40085</v>
      </c>
      <c r="I358" s="71"/>
      <c r="J358" s="71"/>
      <c r="K358" s="71"/>
      <c r="L358" s="76"/>
    </row>
    <row r="359" spans="1:12">
      <c r="A359" s="85" t="s">
        <v>3024</v>
      </c>
      <c r="B359" s="71" t="s">
        <v>4273</v>
      </c>
      <c r="C359" s="71" t="s">
        <v>4315</v>
      </c>
      <c r="D359" s="71" t="s">
        <v>3025</v>
      </c>
      <c r="E359" s="72"/>
      <c r="F359" s="73">
        <v>40028</v>
      </c>
      <c r="G359" s="74"/>
      <c r="H359" s="75"/>
      <c r="I359" s="71"/>
      <c r="J359" s="71"/>
      <c r="K359" s="71"/>
      <c r="L359" s="76"/>
    </row>
    <row r="360" spans="1:12">
      <c r="A360" s="85" t="s">
        <v>3026</v>
      </c>
      <c r="B360" s="71" t="s">
        <v>4062</v>
      </c>
      <c r="C360" s="71" t="s">
        <v>3027</v>
      </c>
      <c r="D360" s="71" t="s">
        <v>3028</v>
      </c>
      <c r="E360" s="72">
        <v>192500</v>
      </c>
      <c r="F360" s="73">
        <v>39982</v>
      </c>
      <c r="G360" s="74">
        <v>39989</v>
      </c>
      <c r="H360" s="75">
        <v>40073</v>
      </c>
      <c r="I360" s="75">
        <v>40060</v>
      </c>
      <c r="J360" s="75">
        <v>40126</v>
      </c>
      <c r="K360" s="71" t="s">
        <v>4079</v>
      </c>
      <c r="L360" s="76"/>
    </row>
    <row r="361" spans="1:12" ht="22.5">
      <c r="A361" s="85" t="s">
        <v>3029</v>
      </c>
      <c r="B361" s="71" t="s">
        <v>3030</v>
      </c>
      <c r="C361" s="71"/>
      <c r="D361" s="71" t="s">
        <v>3031</v>
      </c>
      <c r="E361" s="72">
        <v>125000</v>
      </c>
      <c r="F361" s="73">
        <v>39996</v>
      </c>
      <c r="G361" s="74"/>
      <c r="H361" s="75"/>
      <c r="I361" s="71"/>
      <c r="J361" s="71"/>
      <c r="K361" s="71"/>
      <c r="L361" s="76"/>
    </row>
    <row r="362" spans="1:12">
      <c r="A362" s="85" t="s">
        <v>3032</v>
      </c>
      <c r="B362" s="71" t="s">
        <v>4216</v>
      </c>
      <c r="C362" s="71" t="s">
        <v>2584</v>
      </c>
      <c r="D362" s="71" t="s">
        <v>3033</v>
      </c>
      <c r="E362" s="72">
        <v>25463.81</v>
      </c>
      <c r="F362" s="73">
        <v>39986</v>
      </c>
      <c r="G362" s="74"/>
      <c r="H362" s="75"/>
      <c r="I362" s="71"/>
      <c r="J362" s="71"/>
      <c r="K362" s="71"/>
      <c r="L362" s="76"/>
    </row>
    <row r="363" spans="1:12">
      <c r="A363" s="85">
        <v>39965</v>
      </c>
      <c r="B363" s="71"/>
      <c r="C363" s="71"/>
      <c r="D363" s="71"/>
      <c r="E363" s="72"/>
      <c r="F363" s="73"/>
      <c r="G363" s="74"/>
      <c r="H363" s="75"/>
      <c r="I363" s="71"/>
      <c r="J363" s="71"/>
      <c r="K363" s="71"/>
      <c r="L363" s="76"/>
    </row>
    <row r="364" spans="1:12">
      <c r="A364" s="85" t="s">
        <v>3034</v>
      </c>
      <c r="B364" s="71" t="s">
        <v>2853</v>
      </c>
      <c r="C364" s="71" t="s">
        <v>3035</v>
      </c>
      <c r="D364" s="71" t="s">
        <v>3036</v>
      </c>
      <c r="E364" s="72">
        <v>182580</v>
      </c>
      <c r="F364" s="73">
        <v>40002</v>
      </c>
      <c r="G364" s="74">
        <v>40018</v>
      </c>
      <c r="H364" s="75">
        <v>40023</v>
      </c>
      <c r="I364" s="75">
        <v>40092</v>
      </c>
      <c r="J364" s="75">
        <v>40092</v>
      </c>
      <c r="K364" s="71" t="s">
        <v>4079</v>
      </c>
      <c r="L364" s="76"/>
    </row>
    <row r="365" spans="1:12">
      <c r="A365" s="85" t="s">
        <v>3037</v>
      </c>
      <c r="B365" s="71" t="s">
        <v>4133</v>
      </c>
      <c r="C365" s="71" t="s">
        <v>3038</v>
      </c>
      <c r="D365" s="71" t="s">
        <v>3039</v>
      </c>
      <c r="E365" s="72">
        <v>10914123</v>
      </c>
      <c r="F365" s="73">
        <v>40045</v>
      </c>
      <c r="G365" s="74">
        <v>40121</v>
      </c>
      <c r="H365" s="75">
        <v>40135</v>
      </c>
      <c r="I365" s="71"/>
      <c r="J365" s="71"/>
      <c r="K365" s="71"/>
      <c r="L365" s="76"/>
    </row>
    <row r="366" spans="1:12">
      <c r="A366" s="85" t="s">
        <v>3040</v>
      </c>
      <c r="B366" s="71" t="s">
        <v>4133</v>
      </c>
      <c r="C366" s="71" t="s">
        <v>3041</v>
      </c>
      <c r="D366" s="71" t="s">
        <v>3042</v>
      </c>
      <c r="E366" s="72"/>
      <c r="F366" s="73">
        <v>40045</v>
      </c>
      <c r="G366" s="74"/>
      <c r="H366" s="75"/>
      <c r="I366" s="71"/>
      <c r="J366" s="71"/>
      <c r="K366" s="71"/>
      <c r="L366" s="76"/>
    </row>
    <row r="367" spans="1:12">
      <c r="A367" s="85" t="s">
        <v>3043</v>
      </c>
      <c r="B367" s="71" t="s">
        <v>4133</v>
      </c>
      <c r="C367" s="71" t="s">
        <v>3044</v>
      </c>
      <c r="D367" s="71" t="s">
        <v>3045</v>
      </c>
      <c r="E367" s="72">
        <v>6493970</v>
      </c>
      <c r="F367" s="73">
        <v>40045</v>
      </c>
      <c r="G367" s="74">
        <v>40107</v>
      </c>
      <c r="H367" s="75">
        <v>40135</v>
      </c>
      <c r="I367" s="71"/>
      <c r="J367" s="71"/>
      <c r="K367" s="71"/>
      <c r="L367" s="76"/>
    </row>
    <row r="368" spans="1:12">
      <c r="A368" s="85" t="s">
        <v>3046</v>
      </c>
      <c r="B368" s="71" t="s">
        <v>2634</v>
      </c>
      <c r="C368" s="71" t="s">
        <v>3047</v>
      </c>
      <c r="D368" s="71" t="s">
        <v>3048</v>
      </c>
      <c r="E368" s="72">
        <v>23000000</v>
      </c>
      <c r="F368" s="73">
        <v>40016</v>
      </c>
      <c r="G368" s="74">
        <v>40050</v>
      </c>
      <c r="H368" s="75">
        <v>40050</v>
      </c>
      <c r="I368" s="71"/>
      <c r="J368" s="71"/>
      <c r="K368" s="71"/>
      <c r="L368" s="76"/>
    </row>
    <row r="369" spans="1:12">
      <c r="A369" s="85" t="s">
        <v>3049</v>
      </c>
      <c r="B369" s="71" t="s">
        <v>4282</v>
      </c>
      <c r="C369" s="71" t="s">
        <v>2939</v>
      </c>
      <c r="D369" s="71" t="s">
        <v>3050</v>
      </c>
      <c r="E369" s="72">
        <v>139400</v>
      </c>
      <c r="F369" s="73">
        <v>40009</v>
      </c>
      <c r="G369" s="74">
        <v>40028</v>
      </c>
      <c r="H369" s="75">
        <v>40035</v>
      </c>
      <c r="I369" s="75">
        <v>40117</v>
      </c>
      <c r="J369" s="75">
        <v>40210</v>
      </c>
      <c r="K369" s="71" t="s">
        <v>4079</v>
      </c>
      <c r="L369" s="76"/>
    </row>
    <row r="370" spans="1:12">
      <c r="A370" s="85" t="s">
        <v>3051</v>
      </c>
      <c r="B370" s="71" t="s">
        <v>4069</v>
      </c>
      <c r="C370" s="71" t="s">
        <v>4207</v>
      </c>
      <c r="D370" s="71" t="s">
        <v>3052</v>
      </c>
      <c r="E370" s="72"/>
      <c r="F370" s="73">
        <v>39995</v>
      </c>
      <c r="G370" s="74"/>
      <c r="H370" s="75"/>
      <c r="I370" s="71"/>
      <c r="J370" s="71"/>
      <c r="K370" s="71"/>
      <c r="L370" s="76"/>
    </row>
    <row r="371" spans="1:12">
      <c r="A371" s="85" t="s">
        <v>3053</v>
      </c>
      <c r="B371" s="71" t="s">
        <v>4282</v>
      </c>
      <c r="C371" s="71" t="s">
        <v>3035</v>
      </c>
      <c r="D371" s="71" t="s">
        <v>3054</v>
      </c>
      <c r="E371" s="72">
        <v>275000</v>
      </c>
      <c r="F371" s="73">
        <v>39995</v>
      </c>
      <c r="G371" s="74">
        <v>40049</v>
      </c>
      <c r="H371" s="75">
        <v>40049</v>
      </c>
      <c r="I371" s="75">
        <v>40099</v>
      </c>
      <c r="J371" s="75">
        <v>40109</v>
      </c>
      <c r="K371" s="71" t="s">
        <v>4079</v>
      </c>
      <c r="L371" s="76"/>
    </row>
    <row r="372" spans="1:12">
      <c r="A372" s="85" t="s">
        <v>3055</v>
      </c>
      <c r="B372" s="71" t="s">
        <v>2810</v>
      </c>
      <c r="C372" s="71" t="s">
        <v>3056</v>
      </c>
      <c r="D372" s="71" t="s">
        <v>3057</v>
      </c>
      <c r="E372" s="72">
        <v>180800</v>
      </c>
      <c r="F372" s="73">
        <v>40001</v>
      </c>
      <c r="G372" s="74">
        <v>40044</v>
      </c>
      <c r="H372" s="75">
        <v>40162</v>
      </c>
      <c r="I372" s="71"/>
      <c r="J372" s="71"/>
      <c r="K372" s="71"/>
      <c r="L372" s="76"/>
    </row>
    <row r="373" spans="1:12" ht="22.5">
      <c r="A373" s="85" t="s">
        <v>3058</v>
      </c>
      <c r="B373" s="71" t="s">
        <v>4341</v>
      </c>
      <c r="C373" s="71" t="s">
        <v>3059</v>
      </c>
      <c r="D373" s="71" t="s">
        <v>3060</v>
      </c>
      <c r="E373" s="72"/>
      <c r="F373" s="73">
        <v>40073</v>
      </c>
      <c r="G373" s="74"/>
      <c r="H373" s="75"/>
      <c r="I373" s="71"/>
      <c r="J373" s="71"/>
      <c r="K373" s="71"/>
      <c r="L373" s="76" t="s">
        <v>3061</v>
      </c>
    </row>
    <row r="374" spans="1:12">
      <c r="A374" s="85" t="s">
        <v>3062</v>
      </c>
      <c r="B374" s="71" t="s">
        <v>4175</v>
      </c>
      <c r="C374" s="71" t="s">
        <v>3063</v>
      </c>
      <c r="D374" s="71" t="s">
        <v>3064</v>
      </c>
      <c r="E374" s="72">
        <v>113007</v>
      </c>
      <c r="F374" s="73">
        <v>39995</v>
      </c>
      <c r="G374" s="74">
        <v>40044</v>
      </c>
      <c r="H374" s="75">
        <v>40112</v>
      </c>
      <c r="I374" s="71"/>
      <c r="J374" s="71"/>
      <c r="K374" s="71"/>
      <c r="L374" s="76"/>
    </row>
    <row r="375" spans="1:12">
      <c r="A375" s="85" t="s">
        <v>3065</v>
      </c>
      <c r="B375" s="71" t="s">
        <v>4282</v>
      </c>
      <c r="C375" s="71" t="s">
        <v>3066</v>
      </c>
      <c r="D375" s="71" t="s">
        <v>3067</v>
      </c>
      <c r="E375" s="72">
        <v>150000</v>
      </c>
      <c r="F375" s="73">
        <v>39995</v>
      </c>
      <c r="G375" s="74">
        <v>40042</v>
      </c>
      <c r="H375" s="75">
        <v>40042</v>
      </c>
      <c r="I375" s="71"/>
      <c r="J375" s="71"/>
      <c r="K375" s="71"/>
      <c r="L375" s="76"/>
    </row>
    <row r="376" spans="1:12">
      <c r="A376" s="85" t="s">
        <v>3068</v>
      </c>
      <c r="B376" s="71" t="s">
        <v>3069</v>
      </c>
      <c r="C376" s="71"/>
      <c r="D376" s="71" t="s">
        <v>3070</v>
      </c>
      <c r="E376" s="72">
        <v>280000</v>
      </c>
      <c r="F376" s="73">
        <v>39995</v>
      </c>
      <c r="G376" s="74" t="s">
        <v>4173</v>
      </c>
      <c r="H376" s="75"/>
      <c r="I376" s="71"/>
      <c r="J376" s="71"/>
      <c r="K376" s="71"/>
      <c r="L376" s="76"/>
    </row>
    <row r="377" spans="1:12">
      <c r="A377" s="85" t="s">
        <v>3071</v>
      </c>
      <c r="B377" s="71" t="s">
        <v>4190</v>
      </c>
      <c r="C377" s="71" t="s">
        <v>3072</v>
      </c>
      <c r="D377" s="71" t="s">
        <v>3073</v>
      </c>
      <c r="E377" s="72">
        <v>103815</v>
      </c>
      <c r="F377" s="73">
        <v>40004</v>
      </c>
      <c r="G377" s="74">
        <v>40037</v>
      </c>
      <c r="H377" s="75">
        <v>40038</v>
      </c>
      <c r="I377" s="71"/>
      <c r="J377" s="71"/>
      <c r="K377" s="71"/>
      <c r="L377" s="76"/>
    </row>
    <row r="378" spans="1:12">
      <c r="A378" s="85" t="s">
        <v>3074</v>
      </c>
      <c r="B378" s="71" t="s">
        <v>4216</v>
      </c>
      <c r="C378" s="71" t="s">
        <v>3075</v>
      </c>
      <c r="D378" s="71" t="s">
        <v>3076</v>
      </c>
      <c r="E378" s="72"/>
      <c r="F378" s="73">
        <v>40025</v>
      </c>
      <c r="G378" s="74"/>
      <c r="H378" s="75"/>
      <c r="I378" s="71"/>
      <c r="J378" s="71"/>
      <c r="K378" s="71"/>
      <c r="L378" s="76"/>
    </row>
    <row r="379" spans="1:12">
      <c r="A379" s="85" t="s">
        <v>3077</v>
      </c>
      <c r="B379" s="71" t="s">
        <v>4175</v>
      </c>
      <c r="C379" s="71" t="s">
        <v>3072</v>
      </c>
      <c r="D379" s="71" t="s">
        <v>3078</v>
      </c>
      <c r="E379" s="72">
        <v>70000</v>
      </c>
      <c r="F379" s="73">
        <v>39995</v>
      </c>
      <c r="G379" s="74">
        <v>40037</v>
      </c>
      <c r="H379" s="75">
        <v>40039</v>
      </c>
      <c r="I379" s="71"/>
      <c r="J379" s="71"/>
      <c r="K379" s="71"/>
      <c r="L379" s="76"/>
    </row>
    <row r="380" spans="1:12">
      <c r="A380" s="85" t="s">
        <v>3079</v>
      </c>
      <c r="B380" s="71" t="s">
        <v>3080</v>
      </c>
      <c r="C380" s="71" t="s">
        <v>4096</v>
      </c>
      <c r="D380" s="71" t="s">
        <v>3081</v>
      </c>
      <c r="E380" s="72">
        <v>749400</v>
      </c>
      <c r="F380" s="73">
        <v>40064</v>
      </c>
      <c r="G380" s="74">
        <v>40094</v>
      </c>
      <c r="H380" s="75">
        <v>40101</v>
      </c>
      <c r="I380" s="71"/>
      <c r="J380" s="71"/>
      <c r="K380" s="71"/>
      <c r="L380" s="76"/>
    </row>
    <row r="381" spans="1:12">
      <c r="A381" s="85" t="s">
        <v>3082</v>
      </c>
      <c r="B381" s="71" t="s">
        <v>4186</v>
      </c>
      <c r="C381" s="71" t="s">
        <v>3083</v>
      </c>
      <c r="D381" s="71" t="s">
        <v>3084</v>
      </c>
      <c r="E381" s="72">
        <v>2526089</v>
      </c>
      <c r="F381" s="73">
        <v>40021</v>
      </c>
      <c r="G381" s="74">
        <v>40022</v>
      </c>
      <c r="H381" s="75">
        <v>40028</v>
      </c>
      <c r="I381" s="75">
        <v>40395</v>
      </c>
      <c r="J381" s="75">
        <v>40410</v>
      </c>
      <c r="K381" s="71" t="s">
        <v>4079</v>
      </c>
      <c r="L381" s="76"/>
    </row>
    <row r="382" spans="1:12">
      <c r="A382" s="85" t="s">
        <v>3085</v>
      </c>
      <c r="B382" s="71" t="s">
        <v>4062</v>
      </c>
      <c r="C382" s="71" t="s">
        <v>3086</v>
      </c>
      <c r="D382" s="71" t="s">
        <v>3087</v>
      </c>
      <c r="E382" s="72">
        <v>154400</v>
      </c>
      <c r="F382" s="73">
        <v>40009</v>
      </c>
      <c r="G382" s="74">
        <v>40017</v>
      </c>
      <c r="H382" s="75">
        <v>40023</v>
      </c>
      <c r="I382" s="71"/>
      <c r="J382" s="71"/>
      <c r="K382" s="71"/>
      <c r="L382" s="76"/>
    </row>
    <row r="383" spans="1:12">
      <c r="A383" s="85" t="s">
        <v>3088</v>
      </c>
      <c r="B383" s="71" t="s">
        <v>4062</v>
      </c>
      <c r="C383" s="71" t="s">
        <v>3086</v>
      </c>
      <c r="D383" s="71" t="s">
        <v>3089</v>
      </c>
      <c r="E383" s="72">
        <v>122900</v>
      </c>
      <c r="F383" s="73">
        <v>40009</v>
      </c>
      <c r="G383" s="74">
        <v>40017</v>
      </c>
      <c r="H383" s="75">
        <v>40023</v>
      </c>
      <c r="I383" s="71"/>
      <c r="J383" s="71"/>
      <c r="K383" s="71"/>
      <c r="L383" s="76"/>
    </row>
    <row r="384" spans="1:12">
      <c r="A384" s="85" t="s">
        <v>3090</v>
      </c>
      <c r="B384" s="71" t="s">
        <v>3091</v>
      </c>
      <c r="C384" s="71"/>
      <c r="D384" s="71" t="s">
        <v>3092</v>
      </c>
      <c r="E384" s="72">
        <v>900000</v>
      </c>
      <c r="F384" s="73">
        <v>40031</v>
      </c>
      <c r="G384" s="74"/>
      <c r="H384" s="75"/>
      <c r="I384" s="71"/>
      <c r="J384" s="71"/>
      <c r="K384" s="71"/>
      <c r="L384" s="76"/>
    </row>
    <row r="385" spans="1:12">
      <c r="A385" s="85" t="s">
        <v>3093</v>
      </c>
      <c r="B385" s="71" t="s">
        <v>4066</v>
      </c>
      <c r="C385" s="71" t="s">
        <v>3094</v>
      </c>
      <c r="D385" s="71" t="s">
        <v>3095</v>
      </c>
      <c r="E385" s="72">
        <v>521575</v>
      </c>
      <c r="F385" s="73">
        <v>40037</v>
      </c>
      <c r="G385" s="74" t="s">
        <v>3096</v>
      </c>
      <c r="H385" s="75">
        <v>3</v>
      </c>
      <c r="I385" s="71"/>
      <c r="J385" s="71"/>
      <c r="K385" s="71"/>
      <c r="L385" s="76"/>
    </row>
    <row r="386" spans="1:12" ht="22.5">
      <c r="A386" s="85" t="s">
        <v>3097</v>
      </c>
      <c r="B386" s="71" t="s">
        <v>4463</v>
      </c>
      <c r="C386" s="71" t="s">
        <v>3098</v>
      </c>
      <c r="D386" s="71" t="s">
        <v>3099</v>
      </c>
      <c r="E386" s="72">
        <v>119700</v>
      </c>
      <c r="F386" s="73">
        <v>39968</v>
      </c>
      <c r="G386" s="74">
        <v>40036</v>
      </c>
      <c r="H386" s="75">
        <v>40100</v>
      </c>
      <c r="I386" s="71"/>
      <c r="J386" s="71"/>
      <c r="K386" s="71"/>
      <c r="L386" s="76"/>
    </row>
    <row r="387" spans="1:12">
      <c r="A387" s="85" t="s">
        <v>3100</v>
      </c>
      <c r="B387" s="71" t="s">
        <v>4066</v>
      </c>
      <c r="C387" s="71" t="s">
        <v>3101</v>
      </c>
      <c r="D387" s="71" t="s">
        <v>3102</v>
      </c>
      <c r="E387" s="72">
        <v>143150</v>
      </c>
      <c r="F387" s="73">
        <v>40016</v>
      </c>
      <c r="G387" s="74">
        <v>40043</v>
      </c>
      <c r="H387" s="75">
        <v>40073</v>
      </c>
      <c r="I387" s="71"/>
      <c r="J387" s="71"/>
      <c r="K387" s="71"/>
      <c r="L387" s="76"/>
    </row>
    <row r="388" spans="1:12">
      <c r="A388" s="85" t="s">
        <v>3103</v>
      </c>
      <c r="B388" s="71" t="s">
        <v>4133</v>
      </c>
      <c r="C388" s="71" t="s">
        <v>3104</v>
      </c>
      <c r="D388" s="71" t="s">
        <v>3105</v>
      </c>
      <c r="E388" s="72"/>
      <c r="F388" s="73">
        <v>40045</v>
      </c>
      <c r="G388" s="74" t="s">
        <v>3106</v>
      </c>
      <c r="H388" s="75"/>
      <c r="I388" s="71"/>
      <c r="J388" s="71"/>
      <c r="K388" s="71"/>
      <c r="L388" s="76"/>
    </row>
    <row r="389" spans="1:12">
      <c r="A389" s="85" t="s">
        <v>3107</v>
      </c>
      <c r="B389" s="71" t="s">
        <v>4186</v>
      </c>
      <c r="C389" s="71" t="s">
        <v>3108</v>
      </c>
      <c r="D389" s="71" t="s">
        <v>3109</v>
      </c>
      <c r="E389" s="72">
        <v>490857</v>
      </c>
      <c r="F389" s="73">
        <v>40029</v>
      </c>
      <c r="G389" s="74">
        <v>40051</v>
      </c>
      <c r="H389" s="75">
        <v>40057</v>
      </c>
      <c r="I389" s="71"/>
      <c r="J389" s="71"/>
      <c r="K389" s="71"/>
      <c r="L389" s="76"/>
    </row>
    <row r="390" spans="1:12">
      <c r="A390" s="85" t="s">
        <v>3110</v>
      </c>
      <c r="B390" s="71" t="s">
        <v>2853</v>
      </c>
      <c r="C390" s="71" t="s">
        <v>3111</v>
      </c>
      <c r="D390" s="71" t="s">
        <v>3112</v>
      </c>
      <c r="E390" s="72">
        <v>3486000</v>
      </c>
      <c r="F390" s="73">
        <v>40010</v>
      </c>
      <c r="G390" s="74">
        <v>40072</v>
      </c>
      <c r="H390" s="75">
        <v>40088</v>
      </c>
      <c r="I390" s="71"/>
      <c r="J390" s="71"/>
      <c r="K390" s="71"/>
      <c r="L390" s="76"/>
    </row>
    <row r="391" spans="1:12">
      <c r="A391" s="85" t="s">
        <v>3113</v>
      </c>
      <c r="B391" s="71" t="s">
        <v>4231</v>
      </c>
      <c r="C391" s="71" t="s">
        <v>2603</v>
      </c>
      <c r="D391" s="71" t="s">
        <v>3114</v>
      </c>
      <c r="E391" s="72">
        <v>1000000</v>
      </c>
      <c r="F391" s="73">
        <v>40004</v>
      </c>
      <c r="G391" s="74">
        <v>39639</v>
      </c>
      <c r="H391" s="75">
        <v>40018</v>
      </c>
      <c r="I391" s="71"/>
      <c r="J391" s="71"/>
      <c r="K391" s="71" t="s">
        <v>4049</v>
      </c>
      <c r="L391" s="76"/>
    </row>
    <row r="392" spans="1:12">
      <c r="A392" s="85" t="s">
        <v>3115</v>
      </c>
      <c r="B392" s="71" t="s">
        <v>3481</v>
      </c>
      <c r="C392" s="71" t="s">
        <v>2666</v>
      </c>
      <c r="D392" s="71" t="s">
        <v>3116</v>
      </c>
      <c r="E392" s="72">
        <v>827118</v>
      </c>
      <c r="F392" s="73">
        <v>40018</v>
      </c>
      <c r="G392" s="74">
        <v>40043</v>
      </c>
      <c r="H392" s="75">
        <v>40052</v>
      </c>
      <c r="I392" s="75">
        <v>40281</v>
      </c>
      <c r="J392" s="75">
        <v>40304</v>
      </c>
      <c r="K392" s="71" t="s">
        <v>4079</v>
      </c>
      <c r="L392" s="76"/>
    </row>
    <row r="393" spans="1:12" ht="22.5">
      <c r="A393" s="85" t="s">
        <v>3117</v>
      </c>
      <c r="B393" s="71" t="s">
        <v>2853</v>
      </c>
      <c r="C393" s="71" t="s">
        <v>3118</v>
      </c>
      <c r="D393" s="71" t="s">
        <v>3119</v>
      </c>
      <c r="E393" s="72"/>
      <c r="F393" s="73">
        <v>40010</v>
      </c>
      <c r="G393" s="74"/>
      <c r="H393" s="75"/>
      <c r="I393" s="71"/>
      <c r="J393" s="71"/>
      <c r="K393" s="71" t="s">
        <v>4315</v>
      </c>
      <c r="L393" s="76"/>
    </row>
    <row r="394" spans="1:12">
      <c r="A394" s="85" t="s">
        <v>3120</v>
      </c>
      <c r="B394" s="71" t="s">
        <v>4186</v>
      </c>
      <c r="C394" s="71" t="s">
        <v>4199</v>
      </c>
      <c r="D394" s="71" t="s">
        <v>3121</v>
      </c>
      <c r="E394" s="72">
        <v>213073.8</v>
      </c>
      <c r="F394" s="73">
        <v>40024</v>
      </c>
      <c r="G394" s="74">
        <v>40031</v>
      </c>
      <c r="H394" s="75">
        <v>40037</v>
      </c>
      <c r="I394" s="71"/>
      <c r="J394" s="71"/>
      <c r="K394" s="71"/>
      <c r="L394" s="76"/>
    </row>
    <row r="395" spans="1:12">
      <c r="A395" s="85" t="s">
        <v>3122</v>
      </c>
      <c r="B395" s="71" t="s">
        <v>4062</v>
      </c>
      <c r="C395" s="71"/>
      <c r="D395" s="71" t="s">
        <v>3123</v>
      </c>
      <c r="E395" s="72">
        <v>350000</v>
      </c>
      <c r="F395" s="73">
        <v>40031</v>
      </c>
      <c r="G395" s="74"/>
      <c r="H395" s="75"/>
      <c r="I395" s="71"/>
      <c r="J395" s="71"/>
      <c r="K395" s="71"/>
      <c r="L395" s="76"/>
    </row>
    <row r="396" spans="1:12">
      <c r="A396" s="85" t="s">
        <v>3124</v>
      </c>
      <c r="B396" s="71" t="s">
        <v>4062</v>
      </c>
      <c r="C396" s="71"/>
      <c r="D396" s="71" t="s">
        <v>3125</v>
      </c>
      <c r="E396" s="72">
        <v>350000</v>
      </c>
      <c r="F396" s="73">
        <v>40045</v>
      </c>
      <c r="G396" s="74"/>
      <c r="H396" s="75"/>
      <c r="I396" s="71"/>
      <c r="J396" s="71"/>
      <c r="K396" s="71"/>
      <c r="L396" s="76"/>
    </row>
    <row r="397" spans="1:12">
      <c r="A397" s="85" t="s">
        <v>3126</v>
      </c>
      <c r="B397" s="71" t="s">
        <v>4062</v>
      </c>
      <c r="C397" s="71"/>
      <c r="D397" s="71" t="s">
        <v>3127</v>
      </c>
      <c r="E397" s="72">
        <v>350000</v>
      </c>
      <c r="F397" s="73">
        <v>40031</v>
      </c>
      <c r="G397" s="74"/>
      <c r="H397" s="75"/>
      <c r="I397" s="71"/>
      <c r="J397" s="71"/>
      <c r="K397" s="71"/>
      <c r="L397" s="76"/>
    </row>
    <row r="398" spans="1:12">
      <c r="A398" s="85" t="s">
        <v>3128</v>
      </c>
      <c r="B398" s="71" t="s">
        <v>4062</v>
      </c>
      <c r="C398" s="71"/>
      <c r="D398" s="71" t="s">
        <v>3129</v>
      </c>
      <c r="E398" s="72">
        <v>350000</v>
      </c>
      <c r="F398" s="73">
        <v>40031</v>
      </c>
      <c r="G398" s="74"/>
      <c r="H398" s="75"/>
      <c r="I398" s="71"/>
      <c r="J398" s="71"/>
      <c r="K398" s="71"/>
      <c r="L398" s="76"/>
    </row>
    <row r="399" spans="1:12">
      <c r="A399" s="85" t="s">
        <v>3130</v>
      </c>
      <c r="B399" s="71" t="s">
        <v>4062</v>
      </c>
      <c r="C399" s="71" t="s">
        <v>3086</v>
      </c>
      <c r="D399" s="71" t="s">
        <v>3131</v>
      </c>
      <c r="E399" s="72">
        <v>136000</v>
      </c>
      <c r="F399" s="73">
        <v>40045</v>
      </c>
      <c r="G399" s="74">
        <v>40052</v>
      </c>
      <c r="H399" s="75">
        <v>40053</v>
      </c>
      <c r="I399" s="71"/>
      <c r="J399" s="71"/>
      <c r="K399" s="71"/>
      <c r="L399" s="76"/>
    </row>
    <row r="400" spans="1:12">
      <c r="A400" s="85" t="s">
        <v>3132</v>
      </c>
      <c r="B400" s="71" t="s">
        <v>4062</v>
      </c>
      <c r="C400" s="71" t="s">
        <v>3086</v>
      </c>
      <c r="D400" s="71" t="s">
        <v>3133</v>
      </c>
      <c r="E400" s="72">
        <v>136000</v>
      </c>
      <c r="F400" s="73">
        <v>40045</v>
      </c>
      <c r="G400" s="74">
        <v>40052</v>
      </c>
      <c r="H400" s="75">
        <v>40053</v>
      </c>
      <c r="I400" s="71"/>
      <c r="J400" s="71"/>
      <c r="K400" s="71"/>
      <c r="L400" s="76"/>
    </row>
    <row r="401" spans="1:12">
      <c r="A401" s="85" t="s">
        <v>3134</v>
      </c>
      <c r="B401" s="71" t="s">
        <v>4062</v>
      </c>
      <c r="C401" s="71" t="s">
        <v>3086</v>
      </c>
      <c r="D401" s="71" t="s">
        <v>3135</v>
      </c>
      <c r="E401" s="72">
        <v>136000</v>
      </c>
      <c r="F401" s="73">
        <v>40045</v>
      </c>
      <c r="G401" s="74">
        <v>40052</v>
      </c>
      <c r="H401" s="75">
        <v>40053</v>
      </c>
      <c r="I401" s="71"/>
      <c r="J401" s="71"/>
      <c r="K401" s="71"/>
      <c r="L401" s="76"/>
    </row>
    <row r="402" spans="1:12">
      <c r="A402" s="71"/>
      <c r="B402" s="71"/>
      <c r="C402" s="71"/>
      <c r="D402" s="71"/>
      <c r="E402" s="72"/>
      <c r="F402" s="73"/>
      <c r="G402" s="74"/>
      <c r="H402" s="75"/>
      <c r="I402" s="71"/>
      <c r="J402" s="71"/>
      <c r="K402" s="71"/>
      <c r="L402" s="76"/>
    </row>
    <row r="403" spans="1:12">
      <c r="A403" s="85" t="s">
        <v>3136</v>
      </c>
      <c r="B403" s="71" t="s">
        <v>3137</v>
      </c>
      <c r="C403" s="71" t="s">
        <v>3138</v>
      </c>
      <c r="D403" s="71" t="s">
        <v>3139</v>
      </c>
      <c r="E403" s="72"/>
      <c r="F403" s="73">
        <v>40023</v>
      </c>
      <c r="G403" s="74"/>
      <c r="H403" s="75"/>
      <c r="I403" s="71"/>
      <c r="J403" s="71"/>
      <c r="K403" s="71"/>
      <c r="L403" s="76"/>
    </row>
    <row r="404" spans="1:12" ht="22.5">
      <c r="A404" s="85" t="s">
        <v>3140</v>
      </c>
      <c r="B404" s="71" t="s">
        <v>3481</v>
      </c>
      <c r="C404" s="71" t="s">
        <v>3141</v>
      </c>
      <c r="D404" s="71" t="s">
        <v>3142</v>
      </c>
      <c r="E404" s="72">
        <v>5629795</v>
      </c>
      <c r="F404" s="73">
        <v>40057</v>
      </c>
      <c r="G404" s="74">
        <v>40302</v>
      </c>
      <c r="H404" s="75">
        <v>40305</v>
      </c>
      <c r="I404" s="71"/>
      <c r="J404" s="71"/>
      <c r="K404" s="71"/>
      <c r="L404" s="76"/>
    </row>
    <row r="405" spans="1:12">
      <c r="A405" s="85" t="s">
        <v>3143</v>
      </c>
      <c r="B405" s="71" t="s">
        <v>3481</v>
      </c>
      <c r="C405" s="71" t="s">
        <v>4199</v>
      </c>
      <c r="D405" s="71" t="s">
        <v>3144</v>
      </c>
      <c r="E405" s="72">
        <v>261587.25</v>
      </c>
      <c r="F405" s="73">
        <v>40057</v>
      </c>
      <c r="G405" s="74">
        <v>40092</v>
      </c>
      <c r="H405" s="75">
        <v>40098</v>
      </c>
      <c r="I405" s="75">
        <v>40291</v>
      </c>
      <c r="J405" s="75">
        <v>40290</v>
      </c>
      <c r="K405" s="71" t="s">
        <v>4079</v>
      </c>
      <c r="L405" s="76"/>
    </row>
    <row r="406" spans="1:12" ht="22.5">
      <c r="A406" s="85" t="s">
        <v>3145</v>
      </c>
      <c r="B406" s="71" t="s">
        <v>2853</v>
      </c>
      <c r="C406" s="71" t="s">
        <v>3141</v>
      </c>
      <c r="D406" s="71" t="s">
        <v>3146</v>
      </c>
      <c r="E406" s="72">
        <v>1581282</v>
      </c>
      <c r="F406" s="73">
        <v>40043</v>
      </c>
      <c r="G406" s="74">
        <v>40075</v>
      </c>
      <c r="H406" s="75">
        <v>40133</v>
      </c>
      <c r="I406" s="71"/>
      <c r="J406" s="71"/>
      <c r="K406" s="71"/>
      <c r="L406" s="76"/>
    </row>
    <row r="407" spans="1:12">
      <c r="A407" s="85" t="s">
        <v>3147</v>
      </c>
      <c r="B407" s="71" t="s">
        <v>3148</v>
      </c>
      <c r="C407" s="71" t="s">
        <v>3149</v>
      </c>
      <c r="D407" s="71" t="s">
        <v>3150</v>
      </c>
      <c r="E407" s="72">
        <v>138762.29999999999</v>
      </c>
      <c r="F407" s="73">
        <v>40026</v>
      </c>
      <c r="G407" s="74">
        <v>40042</v>
      </c>
      <c r="H407" s="75">
        <v>40042</v>
      </c>
      <c r="I407" s="75">
        <v>40123</v>
      </c>
      <c r="J407" s="75">
        <v>40123</v>
      </c>
      <c r="K407" s="71" t="s">
        <v>4079</v>
      </c>
      <c r="L407" s="76"/>
    </row>
    <row r="408" spans="1:12" ht="22.5">
      <c r="A408" s="85" t="s">
        <v>3151</v>
      </c>
      <c r="B408" s="71" t="s">
        <v>2853</v>
      </c>
      <c r="C408" s="71" t="s">
        <v>3152</v>
      </c>
      <c r="D408" s="71" t="s">
        <v>3153</v>
      </c>
      <c r="E408" s="72">
        <v>1565300.01</v>
      </c>
      <c r="F408" s="73">
        <v>40022</v>
      </c>
      <c r="G408" s="74">
        <v>40121</v>
      </c>
      <c r="H408" s="75">
        <v>40121</v>
      </c>
      <c r="I408" s="71"/>
      <c r="J408" s="71"/>
      <c r="K408" s="71"/>
      <c r="L408" s="76"/>
    </row>
    <row r="409" spans="1:12">
      <c r="A409" s="85" t="s">
        <v>3154</v>
      </c>
      <c r="B409" s="71" t="s">
        <v>3481</v>
      </c>
      <c r="C409" s="71" t="s">
        <v>3155</v>
      </c>
      <c r="D409" s="71" t="s">
        <v>3156</v>
      </c>
      <c r="E409" s="72">
        <v>120000</v>
      </c>
      <c r="F409" s="73">
        <v>39995</v>
      </c>
      <c r="G409" s="74">
        <v>40056</v>
      </c>
      <c r="H409" s="75">
        <v>40057</v>
      </c>
      <c r="I409" s="71"/>
      <c r="J409" s="71"/>
      <c r="K409" s="71"/>
      <c r="L409" s="76"/>
    </row>
    <row r="410" spans="1:12">
      <c r="A410" s="85" t="s">
        <v>3157</v>
      </c>
      <c r="B410" s="71" t="s">
        <v>3481</v>
      </c>
      <c r="C410" s="71" t="s">
        <v>3158</v>
      </c>
      <c r="D410" s="71" t="s">
        <v>3159</v>
      </c>
      <c r="E410" s="72">
        <v>264244</v>
      </c>
      <c r="F410" s="73">
        <v>40057</v>
      </c>
      <c r="G410" s="74">
        <v>40106</v>
      </c>
      <c r="H410" s="75">
        <v>40108</v>
      </c>
      <c r="I410" s="75">
        <v>40247</v>
      </c>
      <c r="J410" s="75">
        <v>40254</v>
      </c>
      <c r="K410" s="71" t="s">
        <v>4079</v>
      </c>
      <c r="L410" s="76" t="s">
        <v>2877</v>
      </c>
    </row>
    <row r="411" spans="1:12" ht="22.5">
      <c r="A411" s="85" t="s">
        <v>3160</v>
      </c>
      <c r="B411" s="71" t="s">
        <v>4128</v>
      </c>
      <c r="C411" s="71" t="s">
        <v>3161</v>
      </c>
      <c r="D411" s="71" t="s">
        <v>3162</v>
      </c>
      <c r="E411" s="72"/>
      <c r="F411" s="73">
        <v>40029</v>
      </c>
      <c r="G411" s="74"/>
      <c r="H411" s="75"/>
      <c r="I411" s="71"/>
      <c r="J411" s="71"/>
      <c r="K411" s="71"/>
      <c r="L411" s="76"/>
    </row>
    <row r="412" spans="1:12">
      <c r="A412" s="85" t="s">
        <v>3163</v>
      </c>
      <c r="B412" s="71" t="s">
        <v>4069</v>
      </c>
      <c r="C412" s="71" t="s">
        <v>3164</v>
      </c>
      <c r="D412" s="71" t="s">
        <v>3165</v>
      </c>
      <c r="E412" s="72">
        <v>332993.32</v>
      </c>
      <c r="F412" s="73">
        <v>40026</v>
      </c>
      <c r="G412" s="74">
        <v>40043</v>
      </c>
      <c r="H412" s="75">
        <v>40044</v>
      </c>
      <c r="I412" s="75">
        <v>40260</v>
      </c>
      <c r="J412" s="75">
        <v>40275</v>
      </c>
      <c r="K412" s="71" t="s">
        <v>4079</v>
      </c>
      <c r="L412" s="76"/>
    </row>
    <row r="413" spans="1:12">
      <c r="A413" s="85" t="s">
        <v>3166</v>
      </c>
      <c r="B413" s="71" t="s">
        <v>4128</v>
      </c>
      <c r="C413" s="71" t="s">
        <v>3167</v>
      </c>
      <c r="D413" s="71" t="s">
        <v>3168</v>
      </c>
      <c r="E413" s="72"/>
      <c r="F413" s="73">
        <v>40049</v>
      </c>
      <c r="G413" s="74"/>
      <c r="H413" s="75"/>
      <c r="I413" s="71"/>
      <c r="J413" s="71"/>
      <c r="K413" s="71"/>
      <c r="L413" s="76"/>
    </row>
    <row r="414" spans="1:12">
      <c r="A414" s="85" t="s">
        <v>5355</v>
      </c>
      <c r="B414" s="71" t="s">
        <v>3481</v>
      </c>
      <c r="C414" s="71" t="s">
        <v>2666</v>
      </c>
      <c r="D414" s="71" t="s">
        <v>3173</v>
      </c>
      <c r="E414" s="72">
        <v>329500</v>
      </c>
      <c r="F414" s="73">
        <v>40026</v>
      </c>
      <c r="G414" s="74">
        <v>40092</v>
      </c>
      <c r="H414" s="75">
        <v>40102</v>
      </c>
      <c r="I414" s="75">
        <v>40345</v>
      </c>
      <c r="J414" s="75">
        <v>40350</v>
      </c>
      <c r="K414" s="71" t="s">
        <v>4079</v>
      </c>
      <c r="L414" s="76"/>
    </row>
    <row r="415" spans="1:12">
      <c r="A415" s="85" t="s">
        <v>3174</v>
      </c>
      <c r="B415" s="71" t="s">
        <v>3175</v>
      </c>
      <c r="C415" s="71" t="s">
        <v>3176</v>
      </c>
      <c r="D415" s="71" t="s">
        <v>3177</v>
      </c>
      <c r="E415" s="72">
        <v>432000</v>
      </c>
      <c r="F415" s="73">
        <v>40025</v>
      </c>
      <c r="G415" s="74">
        <v>40043</v>
      </c>
      <c r="H415" s="75">
        <v>40070</v>
      </c>
      <c r="I415" s="71"/>
      <c r="J415" s="71"/>
      <c r="K415" s="71"/>
      <c r="L415" s="76"/>
    </row>
    <row r="416" spans="1:12">
      <c r="A416" s="85" t="s">
        <v>3178</v>
      </c>
      <c r="B416" s="71" t="s">
        <v>4069</v>
      </c>
      <c r="C416" s="71" t="s">
        <v>3179</v>
      </c>
      <c r="D416" s="71" t="s">
        <v>3180</v>
      </c>
      <c r="E416" s="72"/>
      <c r="F416" s="73">
        <v>40026</v>
      </c>
      <c r="G416" s="74"/>
      <c r="H416" s="75"/>
      <c r="I416" s="71"/>
      <c r="J416" s="71"/>
      <c r="K416" s="71"/>
      <c r="L416" s="76"/>
    </row>
    <row r="417" spans="1:12">
      <c r="A417" s="85" t="s">
        <v>3181</v>
      </c>
      <c r="B417" s="71" t="s">
        <v>4069</v>
      </c>
      <c r="C417" s="71" t="s">
        <v>3182</v>
      </c>
      <c r="D417" s="71" t="s">
        <v>3183</v>
      </c>
      <c r="E417" s="72"/>
      <c r="F417" s="73">
        <v>40026</v>
      </c>
      <c r="G417" s="74"/>
      <c r="H417" s="75"/>
      <c r="I417" s="71"/>
      <c r="J417" s="71"/>
      <c r="K417" s="71"/>
      <c r="L417" s="76"/>
    </row>
    <row r="418" spans="1:12">
      <c r="A418" s="85" t="s">
        <v>3184</v>
      </c>
      <c r="B418" s="71" t="s">
        <v>4069</v>
      </c>
      <c r="C418" s="71" t="s">
        <v>3185</v>
      </c>
      <c r="D418" s="71" t="s">
        <v>3186</v>
      </c>
      <c r="E418" s="72"/>
      <c r="F418" s="73">
        <v>40026</v>
      </c>
      <c r="G418" s="74"/>
      <c r="H418" s="75"/>
      <c r="I418" s="71"/>
      <c r="J418" s="71"/>
      <c r="K418" s="71"/>
      <c r="L418" s="76"/>
    </row>
    <row r="419" spans="1:12">
      <c r="A419" s="85" t="s">
        <v>3187</v>
      </c>
      <c r="B419" s="71" t="s">
        <v>3188</v>
      </c>
      <c r="C419" s="71"/>
      <c r="D419" s="71" t="s">
        <v>3189</v>
      </c>
      <c r="E419" s="72">
        <v>250000</v>
      </c>
      <c r="F419" s="73">
        <v>40052</v>
      </c>
      <c r="G419" s="74"/>
      <c r="H419" s="75"/>
      <c r="I419" s="71"/>
      <c r="J419" s="71"/>
      <c r="K419" s="71"/>
      <c r="L419" s="76"/>
    </row>
    <row r="420" spans="1:12">
      <c r="A420" s="85" t="s">
        <v>3190</v>
      </c>
      <c r="B420" s="71" t="s">
        <v>3191</v>
      </c>
      <c r="C420" s="71" t="s">
        <v>3192</v>
      </c>
      <c r="D420" s="71" t="s">
        <v>3193</v>
      </c>
      <c r="E420" s="72">
        <v>390000</v>
      </c>
      <c r="F420" s="73">
        <v>40031</v>
      </c>
      <c r="G420" s="74">
        <v>40100</v>
      </c>
      <c r="H420" s="75">
        <v>40108</v>
      </c>
      <c r="I420" s="71"/>
      <c r="J420" s="71"/>
      <c r="K420" s="71"/>
      <c r="L420" s="76"/>
    </row>
    <row r="421" spans="1:12">
      <c r="A421" s="85" t="s">
        <v>3194</v>
      </c>
      <c r="B421" s="71" t="s">
        <v>3481</v>
      </c>
      <c r="C421" s="71" t="s">
        <v>3195</v>
      </c>
      <c r="D421" s="71" t="s">
        <v>3196</v>
      </c>
      <c r="E421" s="72">
        <v>11870000</v>
      </c>
      <c r="F421" s="73">
        <v>40071</v>
      </c>
      <c r="G421" s="74">
        <v>40092</v>
      </c>
      <c r="H421" s="75">
        <v>40100</v>
      </c>
      <c r="I421" s="71"/>
      <c r="J421" s="71"/>
      <c r="K421" s="71"/>
      <c r="L421" s="76"/>
    </row>
    <row r="422" spans="1:12" ht="22.5">
      <c r="A422" s="85" t="s">
        <v>3197</v>
      </c>
      <c r="B422" s="71" t="s">
        <v>4062</v>
      </c>
      <c r="C422" s="71" t="s">
        <v>3198</v>
      </c>
      <c r="D422" s="71" t="s">
        <v>3199</v>
      </c>
      <c r="E422" s="72">
        <v>74000</v>
      </c>
      <c r="F422" s="73">
        <v>40021</v>
      </c>
      <c r="G422" s="74" t="s">
        <v>4119</v>
      </c>
      <c r="H422" s="75" t="s">
        <v>4119</v>
      </c>
      <c r="I422" s="71"/>
      <c r="J422" s="71"/>
      <c r="K422" s="71" t="s">
        <v>3200</v>
      </c>
      <c r="L422" s="76"/>
    </row>
    <row r="423" spans="1:12">
      <c r="A423" s="85" t="s">
        <v>3201</v>
      </c>
      <c r="B423" s="71" t="s">
        <v>4133</v>
      </c>
      <c r="C423" s="71"/>
      <c r="D423" s="71" t="s">
        <v>3202</v>
      </c>
      <c r="E423" s="72">
        <v>12000000</v>
      </c>
      <c r="F423" s="73">
        <v>40072</v>
      </c>
      <c r="G423" s="74"/>
      <c r="H423" s="75"/>
      <c r="I423" s="71"/>
      <c r="J423" s="71"/>
      <c r="K423" s="71"/>
      <c r="L423" s="76"/>
    </row>
    <row r="424" spans="1:12">
      <c r="A424" s="85" t="s">
        <v>3203</v>
      </c>
      <c r="B424" s="71" t="s">
        <v>3175</v>
      </c>
      <c r="C424" s="71" t="s">
        <v>2666</v>
      </c>
      <c r="D424" s="71" t="s">
        <v>3204</v>
      </c>
      <c r="E424" s="72">
        <v>2302849.5499999998</v>
      </c>
      <c r="F424" s="73">
        <v>39988</v>
      </c>
      <c r="G424" s="74">
        <v>40015</v>
      </c>
      <c r="H424" s="75">
        <v>40016</v>
      </c>
      <c r="I424" s="71"/>
      <c r="J424" s="71"/>
      <c r="K424" s="71"/>
      <c r="L424" s="76"/>
    </row>
    <row r="425" spans="1:12" ht="22.5">
      <c r="A425" s="85" t="s">
        <v>3205</v>
      </c>
      <c r="B425" s="71" t="s">
        <v>3175</v>
      </c>
      <c r="C425" s="71" t="s">
        <v>3206</v>
      </c>
      <c r="D425" s="71" t="s">
        <v>3207</v>
      </c>
      <c r="E425" s="72">
        <v>120000</v>
      </c>
      <c r="F425" s="73">
        <v>39857</v>
      </c>
      <c r="G425" s="74">
        <v>39889</v>
      </c>
      <c r="H425" s="75">
        <v>40016</v>
      </c>
      <c r="I425" s="71"/>
      <c r="J425" s="71"/>
      <c r="K425" s="71" t="s">
        <v>3208</v>
      </c>
      <c r="L425" s="76"/>
    </row>
    <row r="426" spans="1:12">
      <c r="A426" s="78" t="s">
        <v>3209</v>
      </c>
      <c r="B426" s="71" t="s">
        <v>4128</v>
      </c>
      <c r="C426" s="71" t="s">
        <v>3210</v>
      </c>
      <c r="D426" s="71" t="s">
        <v>3211</v>
      </c>
      <c r="E426" s="72">
        <v>177773</v>
      </c>
      <c r="F426" s="73">
        <v>40037</v>
      </c>
      <c r="G426" s="74">
        <v>40084</v>
      </c>
      <c r="H426" s="75">
        <v>40084</v>
      </c>
      <c r="I426" s="71"/>
      <c r="J426" s="71"/>
      <c r="K426" s="71"/>
      <c r="L426" s="76"/>
    </row>
    <row r="427" spans="1:12">
      <c r="A427" s="78" t="s">
        <v>3212</v>
      </c>
      <c r="B427" s="71" t="s">
        <v>3481</v>
      </c>
      <c r="C427" s="71" t="s">
        <v>2760</v>
      </c>
      <c r="D427" s="71" t="s">
        <v>3213</v>
      </c>
      <c r="E427" s="72">
        <v>691425</v>
      </c>
      <c r="F427" s="73">
        <v>40057</v>
      </c>
      <c r="G427" s="74">
        <v>40272</v>
      </c>
      <c r="H427" s="75">
        <v>40273</v>
      </c>
      <c r="I427" s="71"/>
      <c r="J427" s="71"/>
      <c r="K427" s="71"/>
      <c r="L427" s="76"/>
    </row>
    <row r="428" spans="1:12">
      <c r="A428" s="78" t="s">
        <v>3214</v>
      </c>
      <c r="B428" s="71" t="s">
        <v>3481</v>
      </c>
      <c r="C428" s="71" t="s">
        <v>2561</v>
      </c>
      <c r="D428" s="71" t="s">
        <v>3215</v>
      </c>
      <c r="E428" s="72"/>
      <c r="F428" s="73">
        <v>40057</v>
      </c>
      <c r="G428" s="74"/>
      <c r="H428" s="71"/>
      <c r="I428" s="71"/>
      <c r="J428" s="71"/>
      <c r="K428" s="71"/>
      <c r="L428" s="76"/>
    </row>
    <row r="429" spans="1:12">
      <c r="A429" s="78" t="s">
        <v>3216</v>
      </c>
      <c r="B429" s="71" t="s">
        <v>3481</v>
      </c>
      <c r="C429" s="71" t="s">
        <v>2980</v>
      </c>
      <c r="D429" s="71" t="s">
        <v>3217</v>
      </c>
      <c r="E429" s="72">
        <v>126912</v>
      </c>
      <c r="F429" s="73">
        <v>40057</v>
      </c>
      <c r="G429" s="74">
        <v>40120</v>
      </c>
      <c r="H429" s="75">
        <v>40129</v>
      </c>
      <c r="I429" s="75">
        <v>40241</v>
      </c>
      <c r="J429" s="75">
        <v>40245</v>
      </c>
      <c r="K429" s="71" t="s">
        <v>4079</v>
      </c>
      <c r="L429" s="76"/>
    </row>
    <row r="430" spans="1:12">
      <c r="A430" s="78" t="s">
        <v>3218</v>
      </c>
      <c r="B430" s="71" t="s">
        <v>3481</v>
      </c>
      <c r="C430" s="71" t="s">
        <v>3219</v>
      </c>
      <c r="D430" s="71" t="s">
        <v>3220</v>
      </c>
      <c r="E430" s="72"/>
      <c r="F430" s="73">
        <v>40057</v>
      </c>
      <c r="G430" s="74"/>
      <c r="H430" s="71"/>
      <c r="I430" s="71"/>
      <c r="J430" s="71"/>
      <c r="K430" s="71"/>
      <c r="L430" s="76"/>
    </row>
    <row r="431" spans="1:12">
      <c r="A431" s="94">
        <v>40026</v>
      </c>
      <c r="B431" s="71"/>
      <c r="C431" s="71"/>
      <c r="D431" s="71"/>
      <c r="E431" s="72"/>
      <c r="F431" s="73"/>
      <c r="G431" s="74"/>
      <c r="H431" s="71"/>
      <c r="I431" s="71"/>
      <c r="J431" s="71"/>
      <c r="K431" s="71"/>
      <c r="L431" s="76"/>
    </row>
    <row r="432" spans="1:12">
      <c r="A432" s="78" t="s">
        <v>3221</v>
      </c>
      <c r="B432" s="71" t="s">
        <v>3481</v>
      </c>
      <c r="C432" s="71" t="s">
        <v>3222</v>
      </c>
      <c r="D432" s="71" t="s">
        <v>3223</v>
      </c>
      <c r="E432" s="72"/>
      <c r="F432" s="73">
        <v>40057</v>
      </c>
      <c r="G432" s="74"/>
      <c r="H432" s="71"/>
      <c r="I432" s="71"/>
      <c r="J432" s="71"/>
      <c r="K432" s="71"/>
      <c r="L432" s="76"/>
    </row>
    <row r="433" spans="1:12">
      <c r="A433" s="78" t="s">
        <v>3224</v>
      </c>
      <c r="B433" s="71" t="s">
        <v>4216</v>
      </c>
      <c r="C433" s="71" t="s">
        <v>3225</v>
      </c>
      <c r="D433" s="71" t="s">
        <v>3226</v>
      </c>
      <c r="E433" s="72">
        <v>455777</v>
      </c>
      <c r="F433" s="73">
        <v>40057</v>
      </c>
      <c r="G433" s="74">
        <v>40065</v>
      </c>
      <c r="H433" s="75">
        <v>40158</v>
      </c>
      <c r="I433" s="71"/>
      <c r="J433" s="71"/>
      <c r="K433" s="71"/>
      <c r="L433" s="76"/>
    </row>
    <row r="434" spans="1:12">
      <c r="A434" s="78" t="s">
        <v>3227</v>
      </c>
      <c r="B434" s="71" t="s">
        <v>3481</v>
      </c>
      <c r="C434" s="71" t="s">
        <v>3228</v>
      </c>
      <c r="D434" s="71" t="s">
        <v>3229</v>
      </c>
      <c r="E434" s="72"/>
      <c r="F434" s="73">
        <v>40057</v>
      </c>
      <c r="G434" s="74"/>
      <c r="H434" s="71"/>
      <c r="I434" s="71"/>
      <c r="J434" s="71"/>
      <c r="K434" s="71"/>
      <c r="L434" s="76"/>
    </row>
    <row r="435" spans="1:12" ht="22.5">
      <c r="A435" s="78" t="s">
        <v>3230</v>
      </c>
      <c r="B435" s="71" t="s">
        <v>4147</v>
      </c>
      <c r="C435" s="71"/>
      <c r="D435" s="71" t="s">
        <v>3231</v>
      </c>
      <c r="E435" s="72">
        <v>900000</v>
      </c>
      <c r="F435" s="73">
        <v>40050</v>
      </c>
      <c r="G435" s="74"/>
      <c r="H435" s="71"/>
      <c r="I435" s="71"/>
      <c r="J435" s="71"/>
      <c r="K435" s="71"/>
      <c r="L435" s="76"/>
    </row>
    <row r="436" spans="1:12" ht="22.5">
      <c r="A436" s="78" t="s">
        <v>3232</v>
      </c>
      <c r="B436" s="71" t="s">
        <v>3481</v>
      </c>
      <c r="C436" s="71" t="s">
        <v>3233</v>
      </c>
      <c r="D436" s="71" t="s">
        <v>3234</v>
      </c>
      <c r="E436" s="72">
        <v>150000</v>
      </c>
      <c r="F436" s="73">
        <v>40031</v>
      </c>
      <c r="G436" s="74">
        <v>40045</v>
      </c>
      <c r="H436" s="75">
        <v>40053</v>
      </c>
      <c r="I436" s="71"/>
      <c r="J436" s="71"/>
      <c r="K436" s="71"/>
      <c r="L436" s="76"/>
    </row>
    <row r="437" spans="1:12">
      <c r="A437" s="78" t="s">
        <v>3235</v>
      </c>
      <c r="B437" s="71" t="s">
        <v>3481</v>
      </c>
      <c r="C437" s="71" t="s">
        <v>3236</v>
      </c>
      <c r="D437" s="71" t="s">
        <v>3237</v>
      </c>
      <c r="E437" s="72">
        <v>628554.31999999995</v>
      </c>
      <c r="F437" s="73">
        <v>40057</v>
      </c>
      <c r="G437" s="74">
        <v>40079</v>
      </c>
      <c r="H437" s="75">
        <v>40086</v>
      </c>
      <c r="I437" s="71"/>
      <c r="J437" s="71"/>
      <c r="K437" s="71"/>
      <c r="L437" s="76"/>
    </row>
    <row r="438" spans="1:12">
      <c r="A438" s="78" t="s">
        <v>3238</v>
      </c>
      <c r="B438" s="71" t="s">
        <v>4128</v>
      </c>
      <c r="C438" s="71" t="s">
        <v>4119</v>
      </c>
      <c r="D438" s="71" t="s">
        <v>3239</v>
      </c>
      <c r="E438" s="72">
        <v>125000</v>
      </c>
      <c r="F438" s="73">
        <v>40050</v>
      </c>
      <c r="G438" s="74" t="s">
        <v>2693</v>
      </c>
      <c r="H438" s="75" t="s">
        <v>4119</v>
      </c>
      <c r="I438" s="71"/>
      <c r="J438" s="71"/>
      <c r="K438" s="71"/>
      <c r="L438" s="76"/>
    </row>
    <row r="439" spans="1:12">
      <c r="A439" s="78" t="s">
        <v>3240</v>
      </c>
      <c r="B439" s="71" t="s">
        <v>3481</v>
      </c>
      <c r="C439" s="71" t="s">
        <v>3241</v>
      </c>
      <c r="D439" s="71" t="s">
        <v>3242</v>
      </c>
      <c r="E439" s="72"/>
      <c r="F439" s="73">
        <v>39973</v>
      </c>
      <c r="G439" s="74"/>
      <c r="H439" s="71"/>
      <c r="I439" s="71"/>
      <c r="J439" s="71"/>
      <c r="K439" s="71"/>
      <c r="L439" s="76"/>
    </row>
    <row r="440" spans="1:12">
      <c r="A440" s="78" t="s">
        <v>3243</v>
      </c>
      <c r="B440" s="71" t="s">
        <v>3244</v>
      </c>
      <c r="C440" s="71" t="s">
        <v>3245</v>
      </c>
      <c r="D440" s="71" t="s">
        <v>3246</v>
      </c>
      <c r="E440" s="72">
        <v>195750</v>
      </c>
      <c r="F440" s="73">
        <v>40026</v>
      </c>
      <c r="G440" s="74">
        <v>40053</v>
      </c>
      <c r="H440" s="75">
        <v>40134</v>
      </c>
      <c r="I440" s="71"/>
      <c r="J440" s="71"/>
      <c r="K440" s="71"/>
      <c r="L440" s="76"/>
    </row>
    <row r="441" spans="1:12">
      <c r="A441" s="78" t="s">
        <v>3247</v>
      </c>
      <c r="B441" s="71" t="s">
        <v>2634</v>
      </c>
      <c r="C441" s="71"/>
      <c r="D441" s="71" t="s">
        <v>3248</v>
      </c>
      <c r="E441" s="72">
        <v>1250000</v>
      </c>
      <c r="F441" s="73">
        <v>39986</v>
      </c>
      <c r="G441" s="74"/>
      <c r="H441" s="71"/>
      <c r="I441" s="71"/>
      <c r="J441" s="71"/>
      <c r="K441" s="71"/>
      <c r="L441" s="76"/>
    </row>
    <row r="442" spans="1:12">
      <c r="A442" s="78" t="s">
        <v>3249</v>
      </c>
      <c r="B442" s="71" t="s">
        <v>3137</v>
      </c>
      <c r="C442" s="71"/>
      <c r="D442" s="71" t="s">
        <v>3250</v>
      </c>
      <c r="E442" s="72">
        <v>550000</v>
      </c>
      <c r="F442" s="73">
        <v>40066</v>
      </c>
      <c r="G442" s="74" t="s">
        <v>3251</v>
      </c>
      <c r="H442" s="71"/>
      <c r="I442" s="71"/>
      <c r="J442" s="71"/>
      <c r="K442" s="71"/>
      <c r="L442" s="76"/>
    </row>
    <row r="443" spans="1:12" ht="22.5">
      <c r="A443" s="78" t="s">
        <v>3252</v>
      </c>
      <c r="B443" s="71" t="s">
        <v>4216</v>
      </c>
      <c r="C443" s="71" t="s">
        <v>3253</v>
      </c>
      <c r="D443" s="71" t="s">
        <v>3254</v>
      </c>
      <c r="E443" s="72">
        <v>12500</v>
      </c>
      <c r="F443" s="73">
        <v>40074</v>
      </c>
      <c r="G443" s="74">
        <v>40092</v>
      </c>
      <c r="H443" s="75">
        <v>40130</v>
      </c>
      <c r="I443" s="71"/>
      <c r="J443" s="71"/>
      <c r="K443" s="71" t="s">
        <v>3255</v>
      </c>
      <c r="L443" s="76"/>
    </row>
    <row r="444" spans="1:12">
      <c r="A444" s="78" t="s">
        <v>3256</v>
      </c>
      <c r="B444" s="71" t="s">
        <v>4069</v>
      </c>
      <c r="C444" s="71"/>
      <c r="D444" s="71" t="s">
        <v>3257</v>
      </c>
      <c r="E444" s="72">
        <v>485706</v>
      </c>
      <c r="F444" s="73">
        <v>40057</v>
      </c>
      <c r="G444" s="74"/>
      <c r="H444" s="71"/>
      <c r="I444" s="71"/>
      <c r="J444" s="71"/>
      <c r="K444" s="71"/>
      <c r="L444" s="76"/>
    </row>
    <row r="445" spans="1:12">
      <c r="A445" s="78" t="s">
        <v>3258</v>
      </c>
      <c r="B445" s="71" t="s">
        <v>3259</v>
      </c>
      <c r="C445" s="71" t="s">
        <v>3260</v>
      </c>
      <c r="D445" s="71" t="s">
        <v>3261</v>
      </c>
      <c r="E445" s="72">
        <v>256000</v>
      </c>
      <c r="F445" s="73">
        <v>40057</v>
      </c>
      <c r="G445" s="74"/>
      <c r="H445" s="71"/>
      <c r="I445" s="71"/>
      <c r="J445" s="71"/>
      <c r="K445" s="71"/>
      <c r="L445" s="76"/>
    </row>
    <row r="446" spans="1:12">
      <c r="A446" s="78" t="s">
        <v>3262</v>
      </c>
      <c r="B446" s="71" t="s">
        <v>4062</v>
      </c>
      <c r="C446" s="71" t="s">
        <v>3263</v>
      </c>
      <c r="D446" s="71" t="s">
        <v>3264</v>
      </c>
      <c r="E446" s="72"/>
      <c r="F446" s="73">
        <v>40078</v>
      </c>
      <c r="G446" s="74"/>
      <c r="H446" s="71"/>
      <c r="I446" s="71"/>
      <c r="J446" s="71"/>
      <c r="K446" s="71"/>
      <c r="L446" s="76"/>
    </row>
    <row r="447" spans="1:12">
      <c r="A447" s="78" t="s">
        <v>3265</v>
      </c>
      <c r="B447" s="71" t="s">
        <v>4186</v>
      </c>
      <c r="C447" s="71" t="s">
        <v>3266</v>
      </c>
      <c r="D447" s="71" t="s">
        <v>3267</v>
      </c>
      <c r="E447" s="72">
        <v>181657.11</v>
      </c>
      <c r="F447" s="73">
        <v>40044</v>
      </c>
      <c r="G447" s="74">
        <v>40044</v>
      </c>
      <c r="H447" s="75">
        <v>40065</v>
      </c>
      <c r="I447" s="75">
        <v>40253</v>
      </c>
      <c r="J447" s="75">
        <v>40254</v>
      </c>
      <c r="K447" s="71" t="s">
        <v>4079</v>
      </c>
      <c r="L447" s="76"/>
    </row>
    <row r="448" spans="1:12">
      <c r="A448" s="78" t="s">
        <v>3268</v>
      </c>
      <c r="B448" s="71" t="s">
        <v>4062</v>
      </c>
      <c r="C448" s="71" t="s">
        <v>2760</v>
      </c>
      <c r="D448" s="71" t="s">
        <v>3269</v>
      </c>
      <c r="E448" s="72">
        <v>263252</v>
      </c>
      <c r="F448" s="73">
        <v>40072</v>
      </c>
      <c r="G448" s="74">
        <v>40080</v>
      </c>
      <c r="H448" s="75">
        <v>40084</v>
      </c>
      <c r="I448" s="71"/>
      <c r="J448" s="71"/>
      <c r="K448" s="71"/>
      <c r="L448" s="76"/>
    </row>
    <row r="449" spans="1:12">
      <c r="A449" s="78" t="s">
        <v>3270</v>
      </c>
      <c r="B449" s="71" t="s">
        <v>3271</v>
      </c>
      <c r="C449" s="71"/>
      <c r="D449" s="71" t="s">
        <v>3272</v>
      </c>
      <c r="E449" s="72">
        <v>250000</v>
      </c>
      <c r="F449" s="73">
        <v>40084</v>
      </c>
      <c r="G449" s="74"/>
      <c r="H449" s="71"/>
      <c r="I449" s="71"/>
      <c r="J449" s="71"/>
      <c r="K449" s="71"/>
      <c r="L449" s="76"/>
    </row>
    <row r="450" spans="1:12">
      <c r="A450" s="94">
        <v>40057</v>
      </c>
      <c r="B450" s="71"/>
      <c r="C450" s="71"/>
      <c r="D450" s="71"/>
      <c r="E450" s="72"/>
      <c r="F450" s="73"/>
      <c r="G450" s="74"/>
      <c r="H450" s="71"/>
      <c r="I450" s="71"/>
      <c r="J450" s="71"/>
      <c r="K450" s="71"/>
      <c r="L450" s="76"/>
    </row>
    <row r="451" spans="1:12" ht="22.5">
      <c r="A451" s="78" t="s">
        <v>3273</v>
      </c>
      <c r="B451" s="71" t="s">
        <v>3481</v>
      </c>
      <c r="C451" s="71" t="s">
        <v>3274</v>
      </c>
      <c r="D451" s="71" t="s">
        <v>3275</v>
      </c>
      <c r="E451" s="72"/>
      <c r="F451" s="73">
        <v>40057</v>
      </c>
      <c r="G451" s="74"/>
      <c r="H451" s="71"/>
      <c r="I451" s="71"/>
      <c r="J451" s="71"/>
      <c r="K451" s="71"/>
      <c r="L451" s="76"/>
    </row>
    <row r="452" spans="1:12">
      <c r="A452" s="78" t="s">
        <v>3276</v>
      </c>
      <c r="B452" s="71" t="s">
        <v>3481</v>
      </c>
      <c r="C452" s="71" t="s">
        <v>3277</v>
      </c>
      <c r="D452" s="71" t="s">
        <v>3278</v>
      </c>
      <c r="E452" s="72"/>
      <c r="F452" s="73">
        <v>40057</v>
      </c>
      <c r="G452" s="74"/>
      <c r="H452" s="71"/>
      <c r="I452" s="71"/>
      <c r="J452" s="71"/>
      <c r="K452" s="71"/>
      <c r="L452" s="76"/>
    </row>
    <row r="453" spans="1:12">
      <c r="A453" s="78" t="s">
        <v>3279</v>
      </c>
      <c r="B453" s="71" t="s">
        <v>3481</v>
      </c>
      <c r="C453" s="71" t="s">
        <v>3280</v>
      </c>
      <c r="D453" s="71" t="s">
        <v>3281</v>
      </c>
      <c r="E453" s="72"/>
      <c r="F453" s="73">
        <v>40057</v>
      </c>
      <c r="G453" s="74"/>
      <c r="H453" s="71"/>
      <c r="I453" s="71"/>
      <c r="J453" s="71"/>
      <c r="K453" s="71"/>
      <c r="L453" s="76"/>
    </row>
    <row r="454" spans="1:12">
      <c r="A454" s="78" t="s">
        <v>3282</v>
      </c>
      <c r="B454" s="71" t="s">
        <v>3481</v>
      </c>
      <c r="C454" s="71" t="s">
        <v>3283</v>
      </c>
      <c r="D454" s="71" t="s">
        <v>3284</v>
      </c>
      <c r="E454" s="72"/>
      <c r="F454" s="73">
        <v>40057</v>
      </c>
      <c r="G454" s="74"/>
      <c r="H454" s="71"/>
      <c r="I454" s="71"/>
      <c r="J454" s="71"/>
      <c r="K454" s="71"/>
      <c r="L454" s="76"/>
    </row>
    <row r="455" spans="1:12" ht="22.5">
      <c r="A455" s="78" t="s">
        <v>3285</v>
      </c>
      <c r="B455" s="71" t="s">
        <v>4186</v>
      </c>
      <c r="C455" s="71" t="s">
        <v>3286</v>
      </c>
      <c r="D455" s="71" t="s">
        <v>3287</v>
      </c>
      <c r="E455" s="72">
        <v>231210</v>
      </c>
      <c r="F455" s="73">
        <v>40057</v>
      </c>
      <c r="G455" s="74">
        <v>40065</v>
      </c>
      <c r="H455" s="75">
        <v>40066</v>
      </c>
      <c r="I455" s="71"/>
      <c r="J455" s="71"/>
      <c r="K455" s="71"/>
      <c r="L455" s="76"/>
    </row>
    <row r="456" spans="1:12">
      <c r="A456" s="78" t="s">
        <v>3288</v>
      </c>
      <c r="B456" s="71" t="s">
        <v>4341</v>
      </c>
      <c r="C456" s="71" t="s">
        <v>4199</v>
      </c>
      <c r="D456" s="71" t="s">
        <v>3289</v>
      </c>
      <c r="E456" s="72">
        <v>1537976</v>
      </c>
      <c r="F456" s="73">
        <v>39966</v>
      </c>
      <c r="G456" s="74">
        <v>39987</v>
      </c>
      <c r="H456" s="75">
        <v>40073</v>
      </c>
      <c r="I456" s="71"/>
      <c r="J456" s="71"/>
      <c r="K456" s="71"/>
      <c r="L456" s="76"/>
    </row>
    <row r="457" spans="1:12">
      <c r="A457" s="78" t="s">
        <v>3290</v>
      </c>
      <c r="B457" s="71" t="s">
        <v>3481</v>
      </c>
      <c r="C457" s="71"/>
      <c r="D457" s="71" t="s">
        <v>3291</v>
      </c>
      <c r="E457" s="72">
        <v>320000</v>
      </c>
      <c r="F457" s="73">
        <v>40057</v>
      </c>
      <c r="G457" s="74"/>
      <c r="H457" s="75"/>
      <c r="I457" s="71"/>
      <c r="J457" s="71"/>
      <c r="K457" s="71"/>
      <c r="L457" s="76"/>
    </row>
    <row r="458" spans="1:12">
      <c r="A458" s="78" t="s">
        <v>3292</v>
      </c>
      <c r="B458" s="71" t="s">
        <v>3293</v>
      </c>
      <c r="C458" s="71"/>
      <c r="D458" s="71" t="s">
        <v>3294</v>
      </c>
      <c r="E458" s="72">
        <v>249962</v>
      </c>
      <c r="F458" s="73">
        <v>39935</v>
      </c>
      <c r="G458" s="74">
        <v>40014</v>
      </c>
      <c r="H458" s="75">
        <v>40080</v>
      </c>
      <c r="I458" s="71"/>
      <c r="J458" s="71"/>
      <c r="K458" s="71"/>
      <c r="L458" s="76"/>
    </row>
    <row r="459" spans="1:12" ht="22.5">
      <c r="A459" s="78" t="s">
        <v>3295</v>
      </c>
      <c r="B459" s="71" t="s">
        <v>3296</v>
      </c>
      <c r="C459" s="71" t="s">
        <v>3297</v>
      </c>
      <c r="D459" s="71" t="s">
        <v>3298</v>
      </c>
      <c r="E459" s="72">
        <v>52382769</v>
      </c>
      <c r="F459" s="73">
        <v>39765</v>
      </c>
      <c r="G459" s="74">
        <v>39960</v>
      </c>
      <c r="H459" s="75">
        <v>40100</v>
      </c>
      <c r="I459" s="71"/>
      <c r="J459" s="71"/>
      <c r="K459" s="71"/>
      <c r="L459" s="76"/>
    </row>
    <row r="460" spans="1:12" ht="22.5">
      <c r="A460" s="78" t="s">
        <v>3299</v>
      </c>
      <c r="B460" s="71" t="s">
        <v>2897</v>
      </c>
      <c r="C460" s="71" t="s">
        <v>3300</v>
      </c>
      <c r="D460" s="71" t="s">
        <v>3301</v>
      </c>
      <c r="E460" s="72">
        <v>1431584</v>
      </c>
      <c r="F460" s="73">
        <v>40057</v>
      </c>
      <c r="G460" s="74">
        <v>40043</v>
      </c>
      <c r="H460" s="75">
        <v>40254</v>
      </c>
      <c r="I460" s="75" t="s">
        <v>4119</v>
      </c>
      <c r="J460" s="71"/>
      <c r="K460" s="71" t="s">
        <v>3302</v>
      </c>
      <c r="L460" s="76"/>
    </row>
    <row r="461" spans="1:12">
      <c r="A461" s="71" t="s">
        <v>3303</v>
      </c>
      <c r="B461" s="71" t="s">
        <v>2897</v>
      </c>
      <c r="C461" s="71"/>
      <c r="D461" s="71" t="s">
        <v>3304</v>
      </c>
      <c r="E461" s="72">
        <v>45000</v>
      </c>
      <c r="F461" s="75">
        <v>40270</v>
      </c>
      <c r="G461" s="74"/>
      <c r="H461" s="75"/>
      <c r="I461" s="75"/>
      <c r="J461" s="71"/>
      <c r="K461" s="71"/>
      <c r="L461" s="76"/>
    </row>
    <row r="462" spans="1:12">
      <c r="A462" s="71" t="s">
        <v>3305</v>
      </c>
      <c r="B462" s="71" t="s">
        <v>2897</v>
      </c>
      <c r="C462" s="71" t="s">
        <v>3176</v>
      </c>
      <c r="D462" s="71" t="s">
        <v>3306</v>
      </c>
      <c r="E462" s="72">
        <v>45900</v>
      </c>
      <c r="F462" s="75">
        <v>40337</v>
      </c>
      <c r="G462" s="75">
        <v>40358</v>
      </c>
      <c r="H462" s="75">
        <v>40365</v>
      </c>
      <c r="I462" s="71"/>
      <c r="J462" s="71"/>
      <c r="K462" s="71"/>
      <c r="L462" s="76"/>
    </row>
    <row r="463" spans="1:12">
      <c r="A463" s="18" t="s">
        <v>2494</v>
      </c>
      <c r="B463" s="98"/>
      <c r="C463" s="98"/>
      <c r="D463" s="98"/>
      <c r="E463" s="99">
        <f>SUM(E5:E451)</f>
        <v>3279010673.6800013</v>
      </c>
      <c r="F463" s="75"/>
      <c r="G463" s="75"/>
      <c r="H463" s="75"/>
      <c r="I463" s="71"/>
      <c r="J463" s="71"/>
      <c r="K463" s="71"/>
      <c r="L463" s="76"/>
    </row>
    <row r="464" spans="1:12">
      <c r="A464" s="100"/>
      <c r="B464" s="101"/>
      <c r="C464" s="101"/>
      <c r="D464" s="101"/>
      <c r="E464" s="102"/>
      <c r="F464" s="75"/>
      <c r="G464" s="75"/>
      <c r="H464" s="75"/>
      <c r="I464" s="71"/>
      <c r="J464" s="71"/>
      <c r="K464" s="71"/>
      <c r="L464" s="76"/>
    </row>
    <row r="465" spans="1:12">
      <c r="A465" s="17" t="s">
        <v>2495</v>
      </c>
      <c r="B465" s="71"/>
      <c r="C465" s="71"/>
      <c r="D465" s="71"/>
      <c r="E465" s="97"/>
      <c r="F465" s="75"/>
      <c r="G465" s="75"/>
      <c r="H465" s="75"/>
      <c r="I465" s="71"/>
      <c r="J465" s="71"/>
      <c r="K465" s="71"/>
      <c r="L465" s="76"/>
    </row>
    <row r="466" spans="1:12" ht="22.5">
      <c r="A466" s="71" t="s">
        <v>3307</v>
      </c>
      <c r="B466" s="71" t="s">
        <v>4042</v>
      </c>
      <c r="C466" s="71"/>
      <c r="D466" s="71" t="s">
        <v>3308</v>
      </c>
      <c r="E466" s="72">
        <v>39000000</v>
      </c>
      <c r="F466" s="73">
        <v>40179</v>
      </c>
      <c r="G466" s="74"/>
      <c r="H466" s="71"/>
      <c r="I466" s="71"/>
      <c r="J466" s="71"/>
      <c r="K466" s="71"/>
      <c r="L466" s="76"/>
    </row>
    <row r="467" spans="1:12">
      <c r="A467" s="85" t="s">
        <v>3309</v>
      </c>
      <c r="B467" s="71" t="s">
        <v>4042</v>
      </c>
      <c r="C467" s="71"/>
      <c r="D467" s="71" t="s">
        <v>3310</v>
      </c>
      <c r="E467" s="72">
        <v>165000000</v>
      </c>
      <c r="F467" s="73">
        <v>40238</v>
      </c>
      <c r="G467" s="74"/>
      <c r="H467" s="71"/>
      <c r="I467" s="71"/>
      <c r="J467" s="71"/>
      <c r="K467" s="71"/>
      <c r="L467" s="76" t="s">
        <v>2877</v>
      </c>
    </row>
    <row r="468" spans="1:12">
      <c r="A468" s="85" t="s">
        <v>3311</v>
      </c>
      <c r="B468" s="71" t="s">
        <v>4038</v>
      </c>
      <c r="C468" s="71" t="s">
        <v>3312</v>
      </c>
      <c r="D468" s="71" t="s">
        <v>3313</v>
      </c>
      <c r="E468" s="72">
        <v>23000000</v>
      </c>
      <c r="F468" s="73">
        <v>40155</v>
      </c>
      <c r="G468" s="74"/>
      <c r="H468" s="71"/>
      <c r="I468" s="71"/>
      <c r="J468" s="71"/>
      <c r="K468" s="71"/>
      <c r="L468" s="76"/>
    </row>
    <row r="469" spans="1:12">
      <c r="A469" s="85" t="s">
        <v>3314</v>
      </c>
      <c r="B469" s="71" t="s">
        <v>4056</v>
      </c>
      <c r="C469" s="71" t="s">
        <v>3315</v>
      </c>
      <c r="D469" s="71" t="s">
        <v>3316</v>
      </c>
      <c r="E469" s="72">
        <v>6975000</v>
      </c>
      <c r="F469" s="73">
        <v>40365</v>
      </c>
      <c r="G469" s="74">
        <v>40428</v>
      </c>
      <c r="H469" s="75">
        <v>40434</v>
      </c>
      <c r="I469" s="71"/>
      <c r="J469" s="71"/>
      <c r="K469" s="71"/>
      <c r="L469" s="76"/>
    </row>
    <row r="470" spans="1:12">
      <c r="A470" s="85" t="s">
        <v>3317</v>
      </c>
      <c r="B470" s="71" t="s">
        <v>4056</v>
      </c>
      <c r="C470" s="71"/>
      <c r="D470" s="71" t="s">
        <v>3318</v>
      </c>
      <c r="E470" s="72">
        <v>8000000</v>
      </c>
      <c r="F470" s="73">
        <v>40365</v>
      </c>
      <c r="G470" s="74"/>
      <c r="H470" s="71"/>
      <c r="I470" s="71"/>
      <c r="J470" s="71"/>
      <c r="K470" s="71"/>
      <c r="L470" s="76"/>
    </row>
    <row r="471" spans="1:12">
      <c r="A471" s="85" t="s">
        <v>3319</v>
      </c>
      <c r="B471" s="71" t="s">
        <v>4066</v>
      </c>
      <c r="C471" s="71"/>
      <c r="D471" s="71" t="s">
        <v>3320</v>
      </c>
      <c r="E471" s="72">
        <v>19000000</v>
      </c>
      <c r="F471" s="73">
        <v>40120</v>
      </c>
      <c r="G471" s="74"/>
      <c r="H471" s="71"/>
      <c r="I471" s="71"/>
      <c r="J471" s="71"/>
      <c r="K471" s="71"/>
      <c r="L471" s="76"/>
    </row>
    <row r="472" spans="1:12">
      <c r="A472" s="85" t="s">
        <v>3321</v>
      </c>
      <c r="B472" s="71" t="s">
        <v>4069</v>
      </c>
      <c r="C472" s="71"/>
      <c r="D472" s="71" t="s">
        <v>3322</v>
      </c>
      <c r="E472" s="72">
        <v>360000</v>
      </c>
      <c r="F472" s="73">
        <v>40162</v>
      </c>
      <c r="G472" s="74"/>
      <c r="H472" s="71"/>
      <c r="I472" s="71"/>
      <c r="J472" s="71"/>
      <c r="K472" s="71"/>
      <c r="L472" s="76"/>
    </row>
    <row r="473" spans="1:12">
      <c r="A473" s="85" t="s">
        <v>3323</v>
      </c>
      <c r="B473" s="71" t="s">
        <v>4062</v>
      </c>
      <c r="C473" s="71" t="s">
        <v>3324</v>
      </c>
      <c r="D473" s="71" t="s">
        <v>3325</v>
      </c>
      <c r="E473" s="72">
        <v>2498620</v>
      </c>
      <c r="F473" s="73">
        <v>40184</v>
      </c>
      <c r="G473" s="74">
        <v>40290</v>
      </c>
      <c r="H473" s="75">
        <v>40291</v>
      </c>
      <c r="I473" s="71"/>
      <c r="J473" s="71"/>
      <c r="K473" s="71"/>
      <c r="L473" s="76"/>
    </row>
    <row r="474" spans="1:12">
      <c r="A474" s="85" t="s">
        <v>3326</v>
      </c>
      <c r="B474" s="71" t="s">
        <v>4062</v>
      </c>
      <c r="C474" s="71" t="s">
        <v>3324</v>
      </c>
      <c r="D474" s="71" t="s">
        <v>3327</v>
      </c>
      <c r="E474" s="72">
        <v>2579710</v>
      </c>
      <c r="F474" s="73">
        <v>40184</v>
      </c>
      <c r="G474" s="74">
        <v>40290</v>
      </c>
      <c r="H474" s="75">
        <v>40291</v>
      </c>
      <c r="I474" s="71"/>
      <c r="J474" s="71"/>
      <c r="K474" s="71"/>
      <c r="L474" s="76"/>
    </row>
    <row r="475" spans="1:12">
      <c r="A475" s="85" t="s">
        <v>3328</v>
      </c>
      <c r="B475" s="71" t="s">
        <v>4062</v>
      </c>
      <c r="C475" s="71"/>
      <c r="D475" s="71" t="s">
        <v>3329</v>
      </c>
      <c r="E475" s="72">
        <v>4721000</v>
      </c>
      <c r="F475" s="73">
        <v>40198</v>
      </c>
      <c r="G475" s="74"/>
      <c r="H475" s="71"/>
      <c r="I475" s="71"/>
      <c r="J475" s="71"/>
      <c r="K475" s="71"/>
      <c r="L475" s="76"/>
    </row>
    <row r="476" spans="1:12">
      <c r="A476" s="85" t="s">
        <v>3330</v>
      </c>
      <c r="B476" s="71" t="s">
        <v>4062</v>
      </c>
      <c r="C476" s="71" t="s">
        <v>3236</v>
      </c>
      <c r="D476" s="71" t="s">
        <v>3331</v>
      </c>
      <c r="E476" s="72">
        <v>2339900</v>
      </c>
      <c r="F476" s="73">
        <v>40198</v>
      </c>
      <c r="G476" s="74">
        <v>40311</v>
      </c>
      <c r="H476" s="75">
        <v>40312</v>
      </c>
      <c r="I476" s="71"/>
      <c r="J476" s="71"/>
      <c r="K476" s="71"/>
      <c r="L476" s="76"/>
    </row>
    <row r="477" spans="1:12">
      <c r="A477" s="85" t="s">
        <v>3332</v>
      </c>
      <c r="B477" s="71" t="s">
        <v>4062</v>
      </c>
      <c r="C477" s="71" t="s">
        <v>3236</v>
      </c>
      <c r="D477" s="71" t="s">
        <v>3333</v>
      </c>
      <c r="E477" s="72">
        <v>4395000</v>
      </c>
      <c r="F477" s="73">
        <v>40198</v>
      </c>
      <c r="G477" s="74">
        <v>40311</v>
      </c>
      <c r="H477" s="75">
        <v>40312</v>
      </c>
      <c r="I477" s="71"/>
      <c r="J477" s="71"/>
      <c r="K477" s="71"/>
      <c r="L477" s="76"/>
    </row>
    <row r="478" spans="1:12">
      <c r="A478" s="85" t="s">
        <v>3334</v>
      </c>
      <c r="B478" s="71" t="s">
        <v>3175</v>
      </c>
      <c r="C478" s="71" t="s">
        <v>3335</v>
      </c>
      <c r="D478" s="71" t="s">
        <v>3336</v>
      </c>
      <c r="E478" s="72">
        <v>1233658</v>
      </c>
      <c r="F478" s="73">
        <v>40179</v>
      </c>
      <c r="G478" s="74">
        <v>40206</v>
      </c>
      <c r="H478" s="75">
        <v>40218</v>
      </c>
      <c r="I478" s="71"/>
      <c r="J478" s="71"/>
      <c r="K478" s="71"/>
      <c r="L478" s="76"/>
    </row>
    <row r="479" spans="1:12">
      <c r="A479" s="85" t="s">
        <v>3337</v>
      </c>
      <c r="B479" s="71" t="s">
        <v>4038</v>
      </c>
      <c r="C479" s="71" t="s">
        <v>3101</v>
      </c>
      <c r="D479" s="71" t="s">
        <v>3338</v>
      </c>
      <c r="E479" s="72">
        <v>317350</v>
      </c>
      <c r="F479" s="73">
        <v>40101</v>
      </c>
      <c r="G479" s="74">
        <v>40169</v>
      </c>
      <c r="H479" s="75">
        <v>40171</v>
      </c>
      <c r="I479" s="71"/>
      <c r="J479" s="71"/>
      <c r="K479" s="71"/>
      <c r="L479" s="76"/>
    </row>
    <row r="480" spans="1:12" ht="22.5">
      <c r="A480" s="85" t="s">
        <v>3339</v>
      </c>
      <c r="B480" s="71" t="s">
        <v>4069</v>
      </c>
      <c r="C480" s="71" t="s">
        <v>3340</v>
      </c>
      <c r="D480" s="71" t="s">
        <v>3341</v>
      </c>
      <c r="E480" s="72">
        <v>1535477</v>
      </c>
      <c r="F480" s="73">
        <v>40115</v>
      </c>
      <c r="G480" s="74">
        <v>40183</v>
      </c>
      <c r="H480" s="75">
        <v>40184</v>
      </c>
      <c r="I480" s="71"/>
      <c r="J480" s="71"/>
      <c r="K480" s="71"/>
      <c r="L480" s="76"/>
    </row>
    <row r="481" spans="1:12">
      <c r="A481" s="85" t="s">
        <v>3342</v>
      </c>
      <c r="B481" s="71" t="s">
        <v>3343</v>
      </c>
      <c r="C481" s="71" t="s">
        <v>3344</v>
      </c>
      <c r="D481" s="71" t="s">
        <v>3345</v>
      </c>
      <c r="E481" s="72">
        <v>1094573</v>
      </c>
      <c r="F481" s="73">
        <v>40094</v>
      </c>
      <c r="G481" s="74">
        <v>40120</v>
      </c>
      <c r="H481" s="75">
        <v>40151</v>
      </c>
      <c r="I481" s="71"/>
      <c r="J481" s="71"/>
      <c r="K481" s="71"/>
      <c r="L481" s="76"/>
    </row>
    <row r="482" spans="1:12">
      <c r="A482" s="85" t="s">
        <v>3346</v>
      </c>
      <c r="B482" s="71" t="s">
        <v>4069</v>
      </c>
      <c r="C482" s="71" t="s">
        <v>3347</v>
      </c>
      <c r="D482" s="71" t="s">
        <v>3348</v>
      </c>
      <c r="E482" s="72">
        <v>773176</v>
      </c>
      <c r="F482" s="73">
        <v>40148</v>
      </c>
      <c r="G482" s="74">
        <v>40148</v>
      </c>
      <c r="H482" s="75">
        <v>40149</v>
      </c>
      <c r="I482" s="75">
        <v>40334</v>
      </c>
      <c r="J482" s="75">
        <v>40346</v>
      </c>
      <c r="K482" s="71" t="s">
        <v>4079</v>
      </c>
      <c r="L482" s="76"/>
    </row>
    <row r="483" spans="1:12">
      <c r="A483" s="71" t="s">
        <v>3349</v>
      </c>
      <c r="B483" s="71" t="s">
        <v>4062</v>
      </c>
      <c r="C483" s="71" t="s">
        <v>3350</v>
      </c>
      <c r="D483" s="71" t="s">
        <v>3351</v>
      </c>
      <c r="E483" s="72"/>
      <c r="F483" s="73">
        <v>40130</v>
      </c>
      <c r="G483" s="74"/>
      <c r="H483" s="71"/>
      <c r="I483" s="71"/>
      <c r="J483" s="71"/>
      <c r="K483" s="71"/>
      <c r="L483" s="76"/>
    </row>
    <row r="484" spans="1:12">
      <c r="A484" s="71" t="s">
        <v>3352</v>
      </c>
      <c r="B484" s="71" t="s">
        <v>2634</v>
      </c>
      <c r="C484" s="71" t="s">
        <v>3353</v>
      </c>
      <c r="D484" s="71" t="s">
        <v>3354</v>
      </c>
      <c r="E484" s="72">
        <v>806188.89</v>
      </c>
      <c r="F484" s="73">
        <v>40057</v>
      </c>
      <c r="G484" s="74" t="s">
        <v>4119</v>
      </c>
      <c r="H484" s="75">
        <v>40238</v>
      </c>
      <c r="I484" s="75">
        <v>40235</v>
      </c>
      <c r="J484" s="75">
        <v>40238</v>
      </c>
      <c r="K484" s="71" t="s">
        <v>4079</v>
      </c>
      <c r="L484" s="76" t="s">
        <v>2877</v>
      </c>
    </row>
    <row r="485" spans="1:12" ht="22.5">
      <c r="A485" s="85" t="s">
        <v>3355</v>
      </c>
      <c r="B485" s="71" t="s">
        <v>4128</v>
      </c>
      <c r="C485" s="71" t="s">
        <v>3356</v>
      </c>
      <c r="D485" s="71" t="s">
        <v>3357</v>
      </c>
      <c r="E485" s="72">
        <v>7351023.8499999996</v>
      </c>
      <c r="F485" s="73">
        <v>40085</v>
      </c>
      <c r="G485" s="74">
        <v>40135</v>
      </c>
      <c r="H485" s="75">
        <v>40136</v>
      </c>
      <c r="I485" s="71"/>
      <c r="J485" s="71"/>
      <c r="K485" s="71"/>
      <c r="L485" s="76"/>
    </row>
    <row r="486" spans="1:12">
      <c r="A486" s="71" t="s">
        <v>3358</v>
      </c>
      <c r="B486" s="71" t="s">
        <v>4147</v>
      </c>
      <c r="C486" s="71"/>
      <c r="D486" s="71" t="s">
        <v>3359</v>
      </c>
      <c r="E486" s="72">
        <v>1200000</v>
      </c>
      <c r="F486" s="73">
        <v>40078</v>
      </c>
      <c r="G486" s="74"/>
      <c r="H486" s="71"/>
      <c r="I486" s="71"/>
      <c r="J486" s="71"/>
      <c r="K486" s="71"/>
      <c r="L486" s="76"/>
    </row>
    <row r="487" spans="1:12">
      <c r="A487" s="71" t="s">
        <v>3360</v>
      </c>
      <c r="B487" s="71" t="s">
        <v>4062</v>
      </c>
      <c r="C487" s="71" t="s">
        <v>3361</v>
      </c>
      <c r="D487" s="71" t="s">
        <v>3264</v>
      </c>
      <c r="E487" s="72"/>
      <c r="F487" s="73">
        <v>40078</v>
      </c>
      <c r="G487" s="74"/>
      <c r="H487" s="71"/>
      <c r="I487" s="71"/>
      <c r="J487" s="71"/>
      <c r="K487" s="71"/>
      <c r="L487" s="76"/>
    </row>
    <row r="488" spans="1:12">
      <c r="A488" s="85" t="s">
        <v>3362</v>
      </c>
      <c r="B488" s="71" t="s">
        <v>3363</v>
      </c>
      <c r="C488" s="71" t="s">
        <v>3364</v>
      </c>
      <c r="D488" s="71" t="s">
        <v>3365</v>
      </c>
      <c r="E488" s="72">
        <v>19754695.870000001</v>
      </c>
      <c r="F488" s="73">
        <v>39959</v>
      </c>
      <c r="G488" s="74">
        <v>40380</v>
      </c>
      <c r="H488" s="75">
        <v>40387</v>
      </c>
      <c r="I488" s="71"/>
      <c r="J488" s="71"/>
      <c r="K488" s="71"/>
      <c r="L488" s="76"/>
    </row>
    <row r="489" spans="1:12">
      <c r="A489" s="85" t="s">
        <v>3366</v>
      </c>
      <c r="B489" s="71" t="s">
        <v>4038</v>
      </c>
      <c r="C489" s="71" t="s">
        <v>3367</v>
      </c>
      <c r="D489" s="71" t="s">
        <v>3368</v>
      </c>
      <c r="E489" s="72">
        <v>9232232</v>
      </c>
      <c r="F489" s="73">
        <v>40120</v>
      </c>
      <c r="G489" s="74">
        <v>40136</v>
      </c>
      <c r="H489" s="75">
        <v>40136</v>
      </c>
      <c r="I489" s="71"/>
      <c r="J489" s="71"/>
      <c r="K489" s="71"/>
      <c r="L489" s="76"/>
    </row>
    <row r="490" spans="1:12">
      <c r="A490" s="85" t="s">
        <v>3369</v>
      </c>
      <c r="B490" s="71" t="s">
        <v>4038</v>
      </c>
      <c r="C490" s="71"/>
      <c r="D490" s="71" t="s">
        <v>3370</v>
      </c>
      <c r="E490" s="72">
        <v>5600000</v>
      </c>
      <c r="F490" s="73">
        <v>39947</v>
      </c>
      <c r="G490" s="74"/>
      <c r="H490" s="71"/>
      <c r="I490" s="71"/>
      <c r="J490" s="71"/>
      <c r="K490" s="71"/>
      <c r="L490" s="76"/>
    </row>
    <row r="491" spans="1:12">
      <c r="A491" s="85" t="s">
        <v>3371</v>
      </c>
      <c r="B491" s="71" t="s">
        <v>4066</v>
      </c>
      <c r="C491" s="71"/>
      <c r="D491" s="71" t="s">
        <v>3372</v>
      </c>
      <c r="E491" s="72">
        <v>9000000</v>
      </c>
      <c r="F491" s="73">
        <v>40169</v>
      </c>
      <c r="G491" s="74"/>
      <c r="H491" s="71"/>
      <c r="I491" s="71"/>
      <c r="J491" s="71"/>
      <c r="K491" s="71"/>
      <c r="L491" s="76"/>
    </row>
    <row r="492" spans="1:12">
      <c r="A492" s="85" t="s">
        <v>3373</v>
      </c>
      <c r="B492" s="71" t="s">
        <v>3374</v>
      </c>
      <c r="C492" s="71"/>
      <c r="D492" s="71" t="s">
        <v>3375</v>
      </c>
      <c r="E492" s="72">
        <v>225000</v>
      </c>
      <c r="F492" s="73">
        <v>40092</v>
      </c>
      <c r="G492" s="74"/>
      <c r="H492" s="71"/>
      <c r="I492" s="71"/>
      <c r="J492" s="71"/>
      <c r="K492" s="71"/>
      <c r="L492" s="76"/>
    </row>
    <row r="493" spans="1:12">
      <c r="A493" s="85" t="s">
        <v>3376</v>
      </c>
      <c r="B493" s="71" t="s">
        <v>3481</v>
      </c>
      <c r="C493" s="71"/>
      <c r="D493" s="71" t="s">
        <v>3377</v>
      </c>
      <c r="E493" s="72">
        <v>150000</v>
      </c>
      <c r="F493" s="73">
        <v>40092</v>
      </c>
      <c r="G493" s="74"/>
      <c r="H493" s="71"/>
      <c r="I493" s="71"/>
      <c r="J493" s="71"/>
      <c r="K493" s="71"/>
      <c r="L493" s="76"/>
    </row>
    <row r="494" spans="1:12">
      <c r="A494" s="85" t="s">
        <v>3378</v>
      </c>
      <c r="B494" s="71" t="s">
        <v>4133</v>
      </c>
      <c r="C494" s="71"/>
      <c r="D494" s="71" t="s">
        <v>3379</v>
      </c>
      <c r="E494" s="72">
        <v>1030000</v>
      </c>
      <c r="F494" s="73">
        <v>40150</v>
      </c>
      <c r="G494" s="74"/>
      <c r="H494" s="71"/>
      <c r="I494" s="71"/>
      <c r="J494" s="71"/>
      <c r="K494" s="71"/>
      <c r="L494" s="76"/>
    </row>
    <row r="495" spans="1:12">
      <c r="A495" s="85" t="s">
        <v>3380</v>
      </c>
      <c r="B495" s="71" t="s">
        <v>4128</v>
      </c>
      <c r="C495" s="71" t="s">
        <v>2875</v>
      </c>
      <c r="D495" s="71" t="s">
        <v>3381</v>
      </c>
      <c r="E495" s="72">
        <v>3374500</v>
      </c>
      <c r="F495" s="73">
        <v>40087</v>
      </c>
      <c r="G495" s="74">
        <v>40149</v>
      </c>
      <c r="H495" s="75">
        <v>40149</v>
      </c>
      <c r="I495" s="71"/>
      <c r="J495" s="71"/>
      <c r="K495" s="71"/>
      <c r="L495" s="76" t="s">
        <v>2877</v>
      </c>
    </row>
    <row r="496" spans="1:12">
      <c r="A496" s="85" t="s">
        <v>3382</v>
      </c>
      <c r="B496" s="71" t="s">
        <v>4128</v>
      </c>
      <c r="C496" s="71"/>
      <c r="D496" s="71" t="s">
        <v>3168</v>
      </c>
      <c r="E496" s="72">
        <v>3200000</v>
      </c>
      <c r="F496" s="73">
        <v>40087</v>
      </c>
      <c r="G496" s="74"/>
      <c r="H496" s="71"/>
      <c r="I496" s="71"/>
      <c r="J496" s="71"/>
      <c r="K496" s="71"/>
      <c r="L496" s="76" t="s">
        <v>2877</v>
      </c>
    </row>
    <row r="497" spans="1:12">
      <c r="A497" s="85" t="s">
        <v>3383</v>
      </c>
      <c r="B497" s="71" t="s">
        <v>4062</v>
      </c>
      <c r="C497" s="71" t="s">
        <v>3384</v>
      </c>
      <c r="D497" s="71" t="s">
        <v>3385</v>
      </c>
      <c r="E497" s="72">
        <v>288989</v>
      </c>
      <c r="F497" s="73">
        <v>40093</v>
      </c>
      <c r="G497" s="74">
        <v>40220</v>
      </c>
      <c r="H497" s="75">
        <v>40221</v>
      </c>
      <c r="I497" s="71"/>
      <c r="J497" s="71"/>
      <c r="K497" s="71"/>
      <c r="L497" s="76"/>
    </row>
    <row r="498" spans="1:12">
      <c r="A498" s="85" t="s">
        <v>3386</v>
      </c>
      <c r="B498" s="71" t="s">
        <v>4137</v>
      </c>
      <c r="C498" s="71" t="s">
        <v>3387</v>
      </c>
      <c r="D498" s="71" t="s">
        <v>3388</v>
      </c>
      <c r="E498" s="72">
        <v>372374</v>
      </c>
      <c r="F498" s="73">
        <v>40091</v>
      </c>
      <c r="G498" s="74">
        <v>40096</v>
      </c>
      <c r="H498" s="75">
        <v>40227</v>
      </c>
      <c r="I498" s="75">
        <v>40288</v>
      </c>
      <c r="J498" s="75">
        <v>40308</v>
      </c>
      <c r="K498" s="71" t="s">
        <v>4079</v>
      </c>
      <c r="L498" s="76"/>
    </row>
    <row r="499" spans="1:12">
      <c r="A499" s="85" t="s">
        <v>3389</v>
      </c>
      <c r="B499" s="71" t="s">
        <v>2602</v>
      </c>
      <c r="C499" s="71"/>
      <c r="D499" s="71" t="s">
        <v>3390</v>
      </c>
      <c r="E499" s="72">
        <v>600000</v>
      </c>
      <c r="F499" s="73">
        <v>40114</v>
      </c>
      <c r="G499" s="74"/>
      <c r="H499" s="71"/>
      <c r="I499" s="71"/>
      <c r="J499" s="71"/>
      <c r="K499" s="71"/>
      <c r="L499" s="76"/>
    </row>
    <row r="500" spans="1:12">
      <c r="A500" s="85" t="s">
        <v>3391</v>
      </c>
      <c r="B500" s="71" t="s">
        <v>4062</v>
      </c>
      <c r="C500" s="71" t="s">
        <v>3392</v>
      </c>
      <c r="D500" s="71" t="s">
        <v>3393</v>
      </c>
      <c r="E500" s="72">
        <v>588000</v>
      </c>
      <c r="F500" s="73">
        <v>40093</v>
      </c>
      <c r="G500" s="74">
        <v>40135</v>
      </c>
      <c r="H500" s="75">
        <v>40135</v>
      </c>
      <c r="I500" s="71"/>
      <c r="J500" s="71"/>
      <c r="K500" s="71"/>
      <c r="L500" s="76"/>
    </row>
    <row r="501" spans="1:12">
      <c r="A501" s="85" t="s">
        <v>3394</v>
      </c>
      <c r="B501" s="71" t="s">
        <v>3175</v>
      </c>
      <c r="C501" s="71"/>
      <c r="D501" s="71" t="s">
        <v>3395</v>
      </c>
      <c r="E501" s="72">
        <v>306671</v>
      </c>
      <c r="F501" s="73">
        <v>40109</v>
      </c>
      <c r="G501" s="74"/>
      <c r="H501" s="71"/>
      <c r="I501" s="71"/>
      <c r="J501" s="71"/>
      <c r="K501" s="71"/>
      <c r="L501" s="76"/>
    </row>
    <row r="502" spans="1:12">
      <c r="A502" s="85" t="s">
        <v>3396</v>
      </c>
      <c r="B502" s="71" t="s">
        <v>3481</v>
      </c>
      <c r="C502" s="71" t="s">
        <v>3397</v>
      </c>
      <c r="D502" s="71" t="s">
        <v>3398</v>
      </c>
      <c r="E502" s="72">
        <v>3142300</v>
      </c>
      <c r="F502" s="73">
        <v>40212</v>
      </c>
      <c r="G502" s="74">
        <v>40274</v>
      </c>
      <c r="H502" s="75">
        <v>40290</v>
      </c>
      <c r="I502" s="71"/>
      <c r="J502" s="71"/>
      <c r="K502" s="71"/>
      <c r="L502" s="76"/>
    </row>
    <row r="503" spans="1:12">
      <c r="A503" s="85" t="s">
        <v>3399</v>
      </c>
      <c r="B503" s="71" t="s">
        <v>4062</v>
      </c>
      <c r="C503" s="71" t="s">
        <v>3324</v>
      </c>
      <c r="D503" s="71" t="s">
        <v>3400</v>
      </c>
      <c r="E503" s="72">
        <v>2957595</v>
      </c>
      <c r="F503" s="73"/>
      <c r="G503" s="74">
        <v>40290</v>
      </c>
      <c r="H503" s="75">
        <v>40291</v>
      </c>
      <c r="I503" s="71"/>
      <c r="J503" s="71"/>
      <c r="K503" s="71"/>
      <c r="L503" s="76"/>
    </row>
    <row r="504" spans="1:12">
      <c r="A504" s="85" t="s">
        <v>3401</v>
      </c>
      <c r="B504" s="71" t="s">
        <v>3481</v>
      </c>
      <c r="C504" s="71" t="s">
        <v>3402</v>
      </c>
      <c r="D504" s="71" t="s">
        <v>3403</v>
      </c>
      <c r="E504" s="72">
        <v>275000</v>
      </c>
      <c r="F504" s="73">
        <v>40057</v>
      </c>
      <c r="G504" s="74">
        <v>40147</v>
      </c>
      <c r="H504" s="75">
        <v>40170</v>
      </c>
      <c r="I504" s="71"/>
      <c r="J504" s="71"/>
      <c r="K504" s="71"/>
      <c r="L504" s="76"/>
    </row>
    <row r="505" spans="1:12">
      <c r="A505" s="85" t="s">
        <v>3404</v>
      </c>
      <c r="B505" s="71" t="s">
        <v>4056</v>
      </c>
      <c r="C505" s="71" t="s">
        <v>4119</v>
      </c>
      <c r="D505" s="71" t="s">
        <v>3405</v>
      </c>
      <c r="E505" s="72">
        <v>2534147.6</v>
      </c>
      <c r="F505" s="73">
        <v>40136</v>
      </c>
      <c r="G505" s="74">
        <v>40183</v>
      </c>
      <c r="H505" s="75">
        <v>40186</v>
      </c>
      <c r="I505" s="71"/>
      <c r="J505" s="71"/>
      <c r="K505" s="71"/>
      <c r="L505" s="76" t="s">
        <v>2877</v>
      </c>
    </row>
    <row r="506" spans="1:12">
      <c r="A506" s="71" t="s">
        <v>3406</v>
      </c>
      <c r="B506" s="71" t="s">
        <v>4069</v>
      </c>
      <c r="C506" s="71" t="s">
        <v>3407</v>
      </c>
      <c r="D506" s="71" t="s">
        <v>3408</v>
      </c>
      <c r="E506" s="72">
        <v>433435</v>
      </c>
      <c r="F506" s="75">
        <v>40087</v>
      </c>
      <c r="G506" s="74">
        <v>40197</v>
      </c>
      <c r="H506" s="75">
        <v>40176</v>
      </c>
      <c r="I506" s="71"/>
      <c r="J506" s="71"/>
      <c r="K506" s="71"/>
      <c r="L506" s="76"/>
    </row>
    <row r="507" spans="1:12">
      <c r="A507" s="85" t="s">
        <v>3409</v>
      </c>
      <c r="B507" s="71" t="s">
        <v>3410</v>
      </c>
      <c r="C507" s="71"/>
      <c r="D507" s="71" t="s">
        <v>3257</v>
      </c>
      <c r="E507" s="72">
        <v>485706</v>
      </c>
      <c r="F507" s="73">
        <v>40087</v>
      </c>
      <c r="G507" s="74"/>
      <c r="H507" s="71"/>
      <c r="I507" s="71"/>
      <c r="J507" s="71"/>
      <c r="K507" s="71"/>
      <c r="L507" s="76"/>
    </row>
    <row r="508" spans="1:12" ht="22.5">
      <c r="A508" s="71" t="s">
        <v>3411</v>
      </c>
      <c r="B508" s="71" t="s">
        <v>4069</v>
      </c>
      <c r="C508" s="71" t="s">
        <v>3412</v>
      </c>
      <c r="D508" s="71" t="s">
        <v>3413</v>
      </c>
      <c r="E508" s="72"/>
      <c r="F508" s="75">
        <v>40087</v>
      </c>
      <c r="G508" s="74"/>
      <c r="H508" s="71"/>
      <c r="I508" s="71"/>
      <c r="J508" s="71"/>
      <c r="K508" s="71"/>
      <c r="L508" s="76"/>
    </row>
    <row r="509" spans="1:12">
      <c r="A509" s="71" t="s">
        <v>3414</v>
      </c>
      <c r="B509" s="71" t="s">
        <v>4069</v>
      </c>
      <c r="C509" s="71"/>
      <c r="D509" s="71" t="s">
        <v>3415</v>
      </c>
      <c r="E509" s="72">
        <v>120000</v>
      </c>
      <c r="F509" s="75">
        <v>40118</v>
      </c>
      <c r="G509" s="74"/>
      <c r="H509" s="71"/>
      <c r="I509" s="71"/>
      <c r="J509" s="71"/>
      <c r="K509" s="71"/>
      <c r="L509" s="76"/>
    </row>
    <row r="510" spans="1:12">
      <c r="A510" s="71" t="s">
        <v>3416</v>
      </c>
      <c r="B510" s="71" t="s">
        <v>3410</v>
      </c>
      <c r="C510" s="71" t="s">
        <v>3417</v>
      </c>
      <c r="D510" s="71" t="s">
        <v>3418</v>
      </c>
      <c r="E510" s="71">
        <v>1360257.81</v>
      </c>
      <c r="F510" s="75">
        <v>40148</v>
      </c>
      <c r="G510" s="74">
        <v>40198</v>
      </c>
      <c r="H510" s="75">
        <v>40198</v>
      </c>
      <c r="I510" s="71"/>
      <c r="J510" s="71"/>
      <c r="K510" s="71"/>
      <c r="L510" s="76"/>
    </row>
    <row r="511" spans="1:12">
      <c r="A511" s="71" t="s">
        <v>3419</v>
      </c>
      <c r="B511" s="71" t="s">
        <v>4128</v>
      </c>
      <c r="C511" s="71" t="s">
        <v>2760</v>
      </c>
      <c r="D511" s="71" t="s">
        <v>3420</v>
      </c>
      <c r="E511" s="72">
        <v>1884209.6</v>
      </c>
      <c r="F511" s="75">
        <v>40112</v>
      </c>
      <c r="G511" s="74">
        <v>40163</v>
      </c>
      <c r="H511" s="75">
        <v>40163</v>
      </c>
      <c r="I511" s="71"/>
      <c r="J511" s="71"/>
      <c r="K511" s="71"/>
      <c r="L511" s="76"/>
    </row>
    <row r="512" spans="1:12">
      <c r="A512" s="71" t="s">
        <v>3421</v>
      </c>
      <c r="B512" s="71" t="s">
        <v>3422</v>
      </c>
      <c r="C512" s="71"/>
      <c r="D512" s="71" t="s">
        <v>3423</v>
      </c>
      <c r="E512" s="72">
        <v>105000</v>
      </c>
      <c r="F512" s="73">
        <v>40155</v>
      </c>
      <c r="G512" s="74"/>
      <c r="H512" s="71"/>
      <c r="I512" s="71"/>
      <c r="J512" s="71"/>
      <c r="K512" s="71"/>
      <c r="L512" s="76"/>
    </row>
    <row r="513" spans="1:12">
      <c r="A513" s="71" t="s">
        <v>3424</v>
      </c>
      <c r="B513" s="71" t="s">
        <v>4069</v>
      </c>
      <c r="C513" s="71"/>
      <c r="D513" s="71" t="s">
        <v>3425</v>
      </c>
      <c r="E513" s="72">
        <v>11600000</v>
      </c>
      <c r="F513" s="73">
        <v>40269</v>
      </c>
      <c r="G513" s="74"/>
      <c r="H513" s="71"/>
      <c r="I513" s="71"/>
      <c r="J513" s="71"/>
      <c r="K513" s="71"/>
      <c r="L513" s="76"/>
    </row>
    <row r="514" spans="1:12">
      <c r="A514" s="71" t="s">
        <v>3426</v>
      </c>
      <c r="B514" s="71" t="s">
        <v>3259</v>
      </c>
      <c r="C514" s="71" t="s">
        <v>3427</v>
      </c>
      <c r="D514" s="71" t="s">
        <v>3428</v>
      </c>
      <c r="E514" s="72">
        <v>15236879</v>
      </c>
      <c r="F514" s="73">
        <v>40118</v>
      </c>
      <c r="G514" s="74">
        <v>40302</v>
      </c>
      <c r="H514" s="75">
        <v>40301</v>
      </c>
      <c r="I514" s="71"/>
      <c r="J514" s="71"/>
      <c r="K514" s="71"/>
      <c r="L514" s="76"/>
    </row>
    <row r="515" spans="1:12">
      <c r="A515" s="71" t="s">
        <v>3429</v>
      </c>
      <c r="B515" s="71" t="s">
        <v>2634</v>
      </c>
      <c r="C515" s="71"/>
      <c r="D515" s="71" t="s">
        <v>3430</v>
      </c>
      <c r="E515" s="72">
        <v>145000</v>
      </c>
      <c r="F515" s="73">
        <v>40108</v>
      </c>
      <c r="G515" s="74"/>
      <c r="H515" s="71"/>
      <c r="I515" s="71"/>
      <c r="J515" s="71"/>
      <c r="K515" s="71"/>
      <c r="L515" s="76"/>
    </row>
    <row r="516" spans="1:12">
      <c r="A516" s="71" t="s">
        <v>3431</v>
      </c>
      <c r="B516" s="71" t="s">
        <v>4069</v>
      </c>
      <c r="C516" s="71" t="s">
        <v>3432</v>
      </c>
      <c r="D516" s="71" t="s">
        <v>3433</v>
      </c>
      <c r="E516" s="72">
        <v>91700</v>
      </c>
      <c r="F516" s="73">
        <v>40087</v>
      </c>
      <c r="G516" s="74"/>
      <c r="H516" s="71"/>
      <c r="I516" s="71"/>
      <c r="J516" s="71"/>
      <c r="K516" s="71"/>
      <c r="L516" s="76"/>
    </row>
    <row r="517" spans="1:12">
      <c r="A517" s="71" t="s">
        <v>3434</v>
      </c>
      <c r="B517" s="71" t="s">
        <v>3435</v>
      </c>
      <c r="C517" s="71" t="s">
        <v>3324</v>
      </c>
      <c r="D517" s="71" t="s">
        <v>3436</v>
      </c>
      <c r="E517" s="72">
        <v>369135</v>
      </c>
      <c r="F517" s="73">
        <v>40088</v>
      </c>
      <c r="G517" s="74">
        <v>40136</v>
      </c>
      <c r="H517" s="75">
        <v>40148</v>
      </c>
      <c r="I517" s="75">
        <v>40253</v>
      </c>
      <c r="J517" s="75">
        <v>40372</v>
      </c>
      <c r="K517" s="71" t="s">
        <v>4079</v>
      </c>
      <c r="L517" s="76"/>
    </row>
    <row r="518" spans="1:12">
      <c r="A518" s="71" t="s">
        <v>3437</v>
      </c>
      <c r="B518" s="71" t="s">
        <v>3435</v>
      </c>
      <c r="C518" s="71" t="s">
        <v>3438</v>
      </c>
      <c r="D518" s="71" t="s">
        <v>3439</v>
      </c>
      <c r="E518" s="72">
        <v>138500</v>
      </c>
      <c r="F518" s="73">
        <v>40114</v>
      </c>
      <c r="G518" s="74">
        <v>40154</v>
      </c>
      <c r="H518" s="75">
        <v>40155</v>
      </c>
      <c r="I518" s="75">
        <v>40246</v>
      </c>
      <c r="J518" s="75">
        <v>40347</v>
      </c>
      <c r="K518" s="71" t="s">
        <v>4079</v>
      </c>
      <c r="L518" s="76"/>
    </row>
    <row r="519" spans="1:12">
      <c r="A519" s="85" t="s">
        <v>3440</v>
      </c>
      <c r="B519" s="71" t="s">
        <v>3259</v>
      </c>
      <c r="C519" s="71" t="s">
        <v>3441</v>
      </c>
      <c r="D519" s="71" t="s">
        <v>3442</v>
      </c>
      <c r="E519" s="72">
        <v>2534147.6</v>
      </c>
      <c r="F519" s="73">
        <v>40087</v>
      </c>
      <c r="G519" s="74">
        <v>40183</v>
      </c>
      <c r="H519" s="75">
        <v>40186</v>
      </c>
      <c r="I519" s="71"/>
      <c r="J519" s="71"/>
      <c r="K519" s="71"/>
      <c r="L519" s="76"/>
    </row>
    <row r="520" spans="1:12" ht="22.5">
      <c r="A520" s="71" t="s">
        <v>3443</v>
      </c>
      <c r="B520" s="71" t="s">
        <v>4069</v>
      </c>
      <c r="C520" s="71" t="s">
        <v>3444</v>
      </c>
      <c r="D520" s="71" t="s">
        <v>3445</v>
      </c>
      <c r="E520" s="72">
        <v>99852</v>
      </c>
      <c r="F520" s="75">
        <v>40122</v>
      </c>
      <c r="G520" s="74">
        <v>40148</v>
      </c>
      <c r="H520" s="75">
        <v>40158</v>
      </c>
      <c r="I520" s="71"/>
      <c r="J520" s="71"/>
      <c r="K520" s="71"/>
      <c r="L520" s="76"/>
    </row>
    <row r="521" spans="1:12">
      <c r="A521" s="94">
        <v>40087</v>
      </c>
      <c r="B521" s="71"/>
      <c r="C521" s="71"/>
      <c r="D521" s="71"/>
      <c r="E521" s="72"/>
      <c r="F521" s="75"/>
      <c r="G521" s="74"/>
      <c r="H521" s="75"/>
      <c r="I521" s="71"/>
      <c r="J521" s="71"/>
      <c r="K521" s="71"/>
      <c r="L521" s="76"/>
    </row>
    <row r="522" spans="1:12">
      <c r="A522" s="71" t="s">
        <v>3446</v>
      </c>
      <c r="B522" s="71" t="s">
        <v>4069</v>
      </c>
      <c r="C522" s="71"/>
      <c r="D522" s="71" t="s">
        <v>3447</v>
      </c>
      <c r="E522" s="72">
        <v>845910</v>
      </c>
      <c r="F522" s="75">
        <v>40148</v>
      </c>
      <c r="G522" s="74"/>
      <c r="H522" s="71"/>
      <c r="I522" s="71"/>
      <c r="J522" s="71"/>
      <c r="K522" s="71"/>
      <c r="L522" s="76"/>
    </row>
    <row r="523" spans="1:12">
      <c r="A523" s="71" t="s">
        <v>3448</v>
      </c>
      <c r="B523" s="71" t="s">
        <v>3410</v>
      </c>
      <c r="C523" s="71"/>
      <c r="D523" s="71" t="s">
        <v>3449</v>
      </c>
      <c r="E523" s="72">
        <v>4346777.5</v>
      </c>
      <c r="F523" s="75">
        <v>40148</v>
      </c>
      <c r="G523" s="74"/>
      <c r="H523" s="71"/>
      <c r="I523" s="71"/>
      <c r="J523" s="71"/>
      <c r="K523" s="71"/>
      <c r="L523" s="76"/>
    </row>
    <row r="524" spans="1:12">
      <c r="A524" s="71" t="s">
        <v>3450</v>
      </c>
      <c r="B524" s="71" t="s">
        <v>3410</v>
      </c>
      <c r="C524" s="71" t="s">
        <v>3353</v>
      </c>
      <c r="D524" s="71" t="s">
        <v>3451</v>
      </c>
      <c r="E524" s="72">
        <v>696514</v>
      </c>
      <c r="F524" s="75">
        <v>40148</v>
      </c>
      <c r="G524" s="74">
        <v>40190</v>
      </c>
      <c r="H524" s="75">
        <v>40190</v>
      </c>
      <c r="I524" s="71"/>
      <c r="J524" s="71"/>
      <c r="K524" s="71"/>
      <c r="L524" s="76" t="s">
        <v>2877</v>
      </c>
    </row>
    <row r="525" spans="1:12">
      <c r="A525" s="71" t="s">
        <v>3452</v>
      </c>
      <c r="B525" s="71" t="s">
        <v>4069</v>
      </c>
      <c r="C525" s="71" t="s">
        <v>3384</v>
      </c>
      <c r="D525" s="71" t="s">
        <v>3453</v>
      </c>
      <c r="E525" s="72">
        <v>118835</v>
      </c>
      <c r="F525" s="75">
        <v>40141</v>
      </c>
      <c r="G525" s="74">
        <v>40184</v>
      </c>
      <c r="H525" s="75">
        <v>40185</v>
      </c>
      <c r="I525" s="71"/>
      <c r="J525" s="71"/>
      <c r="K525" s="71"/>
      <c r="L525" s="76"/>
    </row>
    <row r="526" spans="1:12">
      <c r="A526" s="71" t="s">
        <v>3454</v>
      </c>
      <c r="B526" s="71" t="s">
        <v>4062</v>
      </c>
      <c r="C526" s="71" t="s">
        <v>3364</v>
      </c>
      <c r="D526" s="71" t="s">
        <v>3455</v>
      </c>
      <c r="E526" s="72">
        <v>441854</v>
      </c>
      <c r="F526" s="75">
        <v>40133</v>
      </c>
      <c r="G526" s="74">
        <v>40157</v>
      </c>
      <c r="H526" s="75">
        <v>40158</v>
      </c>
      <c r="I526" s="71"/>
      <c r="J526" s="71"/>
      <c r="K526" s="71"/>
      <c r="L526" s="76"/>
    </row>
    <row r="527" spans="1:12" ht="22.5">
      <c r="A527" s="71" t="s">
        <v>3456</v>
      </c>
      <c r="B527" s="71" t="s">
        <v>3259</v>
      </c>
      <c r="C527" s="71" t="s">
        <v>3457</v>
      </c>
      <c r="D527" s="71" t="s">
        <v>3458</v>
      </c>
      <c r="E527" s="72"/>
      <c r="F527" s="75">
        <v>40118</v>
      </c>
      <c r="G527" s="74"/>
      <c r="H527" s="71"/>
      <c r="I527" s="71"/>
      <c r="J527" s="71"/>
      <c r="K527" s="71"/>
      <c r="L527" s="76"/>
    </row>
    <row r="528" spans="1:12">
      <c r="A528" s="71" t="s">
        <v>3459</v>
      </c>
      <c r="B528" s="71" t="s">
        <v>4066</v>
      </c>
      <c r="C528" s="71"/>
      <c r="D528" s="71" t="s">
        <v>3460</v>
      </c>
      <c r="E528" s="72">
        <v>250000</v>
      </c>
      <c r="F528" s="75">
        <v>40141</v>
      </c>
      <c r="G528" s="74"/>
      <c r="H528" s="71"/>
      <c r="I528" s="71"/>
      <c r="J528" s="71"/>
      <c r="K528" s="71"/>
      <c r="L528" s="76"/>
    </row>
    <row r="529" spans="1:12">
      <c r="A529" s="71" t="s">
        <v>3461</v>
      </c>
      <c r="B529" s="71" t="s">
        <v>3259</v>
      </c>
      <c r="C529" s="71" t="s">
        <v>2760</v>
      </c>
      <c r="D529" s="71" t="s">
        <v>3462</v>
      </c>
      <c r="E529" s="72">
        <v>902140.37</v>
      </c>
      <c r="F529" s="73">
        <v>40136</v>
      </c>
      <c r="G529" s="74">
        <v>40274</v>
      </c>
      <c r="H529" s="75">
        <v>40280</v>
      </c>
      <c r="I529" s="71"/>
      <c r="J529" s="71"/>
      <c r="K529" s="71"/>
      <c r="L529" s="76"/>
    </row>
    <row r="530" spans="1:12">
      <c r="A530" s="71" t="s">
        <v>3463</v>
      </c>
      <c r="B530" s="71" t="s">
        <v>3259</v>
      </c>
      <c r="C530" s="71" t="s">
        <v>3464</v>
      </c>
      <c r="D530" s="71" t="s">
        <v>3465</v>
      </c>
      <c r="E530" s="72">
        <v>389553</v>
      </c>
      <c r="F530" s="73">
        <v>40135</v>
      </c>
      <c r="G530" s="74">
        <v>40274</v>
      </c>
      <c r="H530" s="75">
        <v>40277</v>
      </c>
      <c r="I530" s="71"/>
      <c r="J530" s="71"/>
      <c r="K530" s="71"/>
      <c r="L530" s="76"/>
    </row>
    <row r="531" spans="1:12">
      <c r="A531" s="71" t="s">
        <v>3466</v>
      </c>
      <c r="B531" s="71" t="s">
        <v>3259</v>
      </c>
      <c r="C531" s="71" t="s">
        <v>3467</v>
      </c>
      <c r="D531" s="71" t="s">
        <v>3468</v>
      </c>
      <c r="E531" s="72">
        <v>140700</v>
      </c>
      <c r="F531" s="73">
        <v>40148</v>
      </c>
      <c r="G531" s="74">
        <v>40225</v>
      </c>
      <c r="H531" s="75">
        <v>40228</v>
      </c>
      <c r="I531" s="71"/>
      <c r="J531" s="71"/>
      <c r="K531" s="71"/>
      <c r="L531" s="76"/>
    </row>
    <row r="532" spans="1:12">
      <c r="A532" s="71" t="s">
        <v>3469</v>
      </c>
      <c r="B532" s="71" t="s">
        <v>3259</v>
      </c>
      <c r="C532" s="71" t="s">
        <v>3470</v>
      </c>
      <c r="D532" s="71" t="s">
        <v>3471</v>
      </c>
      <c r="E532" s="72">
        <v>3929809</v>
      </c>
      <c r="F532" s="73">
        <v>40148</v>
      </c>
      <c r="G532" s="74">
        <v>40225</v>
      </c>
      <c r="H532" s="75">
        <v>40228</v>
      </c>
      <c r="I532" s="71"/>
      <c r="J532" s="71"/>
      <c r="K532" s="71"/>
      <c r="L532" s="76"/>
    </row>
    <row r="533" spans="1:12">
      <c r="A533" s="71" t="s">
        <v>3472</v>
      </c>
      <c r="B533" s="71" t="s">
        <v>4069</v>
      </c>
      <c r="C533" s="71"/>
      <c r="D533" s="71" t="s">
        <v>3473</v>
      </c>
      <c r="E533" s="72">
        <v>1630000</v>
      </c>
      <c r="F533" s="73">
        <v>40118</v>
      </c>
      <c r="G533" s="74"/>
      <c r="H533" s="71"/>
      <c r="I533" s="71"/>
      <c r="J533" s="71"/>
      <c r="K533" s="71"/>
      <c r="L533" s="76"/>
    </row>
    <row r="534" spans="1:12">
      <c r="A534" s="71" t="s">
        <v>3474</v>
      </c>
      <c r="B534" s="71" t="s">
        <v>3475</v>
      </c>
      <c r="C534" s="71" t="s">
        <v>3476</v>
      </c>
      <c r="D534" s="71" t="s">
        <v>3477</v>
      </c>
      <c r="E534" s="72">
        <v>13199472</v>
      </c>
      <c r="F534" s="73">
        <v>40148</v>
      </c>
      <c r="G534" s="74">
        <v>40225</v>
      </c>
      <c r="H534" s="75">
        <v>40228</v>
      </c>
      <c r="I534" s="71"/>
      <c r="J534" s="71"/>
      <c r="K534" s="71"/>
      <c r="L534" s="76"/>
    </row>
    <row r="535" spans="1:12">
      <c r="A535" s="71" t="s">
        <v>3478</v>
      </c>
      <c r="B535" s="71" t="s">
        <v>4056</v>
      </c>
      <c r="C535" s="71"/>
      <c r="D535" s="71" t="s">
        <v>1573</v>
      </c>
      <c r="E535" s="72">
        <v>6000000</v>
      </c>
      <c r="F535" s="73">
        <v>40210</v>
      </c>
      <c r="G535" s="74"/>
      <c r="H535" s="71"/>
      <c r="I535" s="71"/>
      <c r="J535" s="71"/>
      <c r="K535" s="71"/>
      <c r="L535" s="76"/>
    </row>
    <row r="536" spans="1:12">
      <c r="A536" s="71" t="s">
        <v>1574</v>
      </c>
      <c r="B536" s="71" t="s">
        <v>4133</v>
      </c>
      <c r="C536" s="71" t="s">
        <v>2875</v>
      </c>
      <c r="D536" s="71" t="s">
        <v>1575</v>
      </c>
      <c r="E536" s="72">
        <v>2547865</v>
      </c>
      <c r="F536" s="73">
        <v>40224</v>
      </c>
      <c r="G536" s="74">
        <v>40149</v>
      </c>
      <c r="H536" s="75">
        <v>40437</v>
      </c>
      <c r="I536" s="71"/>
      <c r="J536" s="71"/>
      <c r="K536" s="71"/>
      <c r="L536" s="76"/>
    </row>
    <row r="537" spans="1:12">
      <c r="A537" s="71" t="s">
        <v>1576</v>
      </c>
      <c r="B537" s="71" t="s">
        <v>1577</v>
      </c>
      <c r="C537" s="71"/>
      <c r="D537" s="71" t="s">
        <v>1578</v>
      </c>
      <c r="E537" s="72">
        <v>850000</v>
      </c>
      <c r="F537" s="73">
        <v>40148</v>
      </c>
      <c r="G537" s="74"/>
      <c r="H537" s="71"/>
      <c r="I537" s="71"/>
      <c r="J537" s="71"/>
      <c r="K537" s="71"/>
      <c r="L537" s="76"/>
    </row>
    <row r="538" spans="1:12">
      <c r="A538" s="71" t="s">
        <v>1579</v>
      </c>
      <c r="B538" s="71" t="s">
        <v>4190</v>
      </c>
      <c r="C538" s="71"/>
      <c r="D538" s="71" t="s">
        <v>1580</v>
      </c>
      <c r="E538" s="72">
        <v>800000</v>
      </c>
      <c r="F538" s="73">
        <v>40148</v>
      </c>
      <c r="G538" s="74"/>
      <c r="H538" s="71"/>
      <c r="I538" s="71"/>
      <c r="J538" s="71"/>
      <c r="K538" s="71"/>
      <c r="L538" s="76"/>
    </row>
    <row r="539" spans="1:12">
      <c r="A539" s="71" t="s">
        <v>1581</v>
      </c>
      <c r="B539" s="71" t="s">
        <v>4056</v>
      </c>
      <c r="C539" s="71"/>
      <c r="D539" s="71" t="s">
        <v>1582</v>
      </c>
      <c r="E539" s="72">
        <v>10000000</v>
      </c>
      <c r="F539" s="73">
        <v>40238</v>
      </c>
      <c r="G539" s="74"/>
      <c r="H539" s="71"/>
      <c r="I539" s="71"/>
      <c r="J539" s="71"/>
      <c r="K539" s="71"/>
      <c r="L539" s="76"/>
    </row>
    <row r="540" spans="1:12">
      <c r="A540" s="71" t="s">
        <v>1583</v>
      </c>
      <c r="B540" s="71" t="s">
        <v>4128</v>
      </c>
      <c r="C540" s="71" t="s">
        <v>1584</v>
      </c>
      <c r="D540" s="71" t="s">
        <v>1585</v>
      </c>
      <c r="E540" s="72">
        <v>49940</v>
      </c>
      <c r="F540" s="73">
        <v>40148</v>
      </c>
      <c r="G540" s="74">
        <v>40148</v>
      </c>
      <c r="H540" s="75">
        <v>40148</v>
      </c>
      <c r="I540" s="71"/>
      <c r="J540" s="71"/>
      <c r="K540" s="71"/>
      <c r="L540" s="76"/>
    </row>
    <row r="541" spans="1:12">
      <c r="A541" s="71" t="s">
        <v>1586</v>
      </c>
      <c r="B541" s="71" t="s">
        <v>4186</v>
      </c>
      <c r="C541" s="71" t="s">
        <v>1587</v>
      </c>
      <c r="D541" s="71" t="s">
        <v>1588</v>
      </c>
      <c r="E541" s="72">
        <v>184900</v>
      </c>
      <c r="F541" s="73">
        <v>40156</v>
      </c>
      <c r="G541" s="74">
        <v>40157</v>
      </c>
      <c r="H541" s="75">
        <v>40161</v>
      </c>
      <c r="I541" s="75">
        <v>40306</v>
      </c>
      <c r="J541" s="75">
        <v>40316</v>
      </c>
      <c r="K541" s="71" t="s">
        <v>4079</v>
      </c>
      <c r="L541" s="76"/>
    </row>
    <row r="542" spans="1:12">
      <c r="A542" s="71" t="s">
        <v>1589</v>
      </c>
      <c r="B542" s="71" t="s">
        <v>1577</v>
      </c>
      <c r="C542" s="71" t="s">
        <v>1590</v>
      </c>
      <c r="D542" s="71" t="s">
        <v>1578</v>
      </c>
      <c r="E542" s="72">
        <v>446118.43</v>
      </c>
      <c r="F542" s="73">
        <v>40148</v>
      </c>
      <c r="G542" s="74">
        <v>40197</v>
      </c>
      <c r="H542" s="75">
        <v>40205</v>
      </c>
      <c r="I542" s="71"/>
      <c r="J542" s="71"/>
      <c r="K542" s="71"/>
      <c r="L542" s="76"/>
    </row>
    <row r="543" spans="1:12">
      <c r="A543" s="71" t="s">
        <v>1591</v>
      </c>
      <c r="B543" s="71" t="s">
        <v>2634</v>
      </c>
      <c r="C543" s="71" t="s">
        <v>1592</v>
      </c>
      <c r="D543" s="71" t="s">
        <v>1593</v>
      </c>
      <c r="E543" s="72">
        <v>1144170</v>
      </c>
      <c r="F543" s="73">
        <v>40149</v>
      </c>
      <c r="G543" s="74">
        <v>40155</v>
      </c>
      <c r="H543" s="75">
        <v>40183</v>
      </c>
      <c r="I543" s="71"/>
      <c r="J543" s="71"/>
      <c r="K543" s="71"/>
      <c r="L543" s="76"/>
    </row>
    <row r="544" spans="1:12">
      <c r="A544" s="94">
        <v>40118</v>
      </c>
      <c r="B544" s="71"/>
      <c r="C544" s="71"/>
      <c r="D544" s="71"/>
      <c r="E544" s="72"/>
      <c r="F544" s="73"/>
      <c r="G544" s="74"/>
      <c r="H544" s="71"/>
      <c r="I544" s="71"/>
      <c r="J544" s="71"/>
      <c r="K544" s="71"/>
      <c r="L544" s="76"/>
    </row>
    <row r="545" spans="1:12">
      <c r="A545" s="71" t="s">
        <v>1594</v>
      </c>
      <c r="B545" s="71" t="s">
        <v>3259</v>
      </c>
      <c r="C545" s="71" t="s">
        <v>3432</v>
      </c>
      <c r="D545" s="71" t="s">
        <v>1595</v>
      </c>
      <c r="E545" s="72">
        <v>194600</v>
      </c>
      <c r="F545" s="73">
        <v>40148</v>
      </c>
      <c r="G545" s="74" t="s">
        <v>4119</v>
      </c>
      <c r="H545" s="75" t="s">
        <v>4119</v>
      </c>
      <c r="I545" s="75" t="s">
        <v>4119</v>
      </c>
      <c r="J545" s="75" t="s">
        <v>4119</v>
      </c>
      <c r="K545" s="71" t="s">
        <v>4119</v>
      </c>
      <c r="L545" s="76"/>
    </row>
    <row r="546" spans="1:12">
      <c r="A546" s="71" t="s">
        <v>1596</v>
      </c>
      <c r="B546" s="71" t="s">
        <v>2691</v>
      </c>
      <c r="C546" s="71"/>
      <c r="D546" s="71" t="s">
        <v>1597</v>
      </c>
      <c r="E546" s="72">
        <v>200000</v>
      </c>
      <c r="F546" s="73">
        <v>40126</v>
      </c>
      <c r="G546" s="74"/>
      <c r="H546" s="71"/>
      <c r="I546" s="71"/>
      <c r="J546" s="71"/>
      <c r="K546" s="71"/>
      <c r="L546" s="76"/>
    </row>
    <row r="547" spans="1:12">
      <c r="A547" s="71" t="s">
        <v>1598</v>
      </c>
      <c r="B547" s="71" t="s">
        <v>4133</v>
      </c>
      <c r="C547" s="71" t="s">
        <v>1599</v>
      </c>
      <c r="D547" s="71" t="s">
        <v>1600</v>
      </c>
      <c r="E547" s="72">
        <v>364000</v>
      </c>
      <c r="F547" s="73">
        <v>39825</v>
      </c>
      <c r="G547" s="74">
        <v>40226</v>
      </c>
      <c r="H547" s="75">
        <v>40437</v>
      </c>
      <c r="I547" s="71"/>
      <c r="J547" s="71"/>
      <c r="K547" s="71"/>
      <c r="L547" s="76"/>
    </row>
    <row r="548" spans="1:12">
      <c r="A548" s="71" t="s">
        <v>1601</v>
      </c>
      <c r="B548" s="71" t="s">
        <v>3259</v>
      </c>
      <c r="C548" s="71" t="s">
        <v>1602</v>
      </c>
      <c r="D548" s="71" t="s">
        <v>1603</v>
      </c>
      <c r="E548" s="72">
        <v>5147742</v>
      </c>
      <c r="F548" s="73">
        <v>40179</v>
      </c>
      <c r="G548" s="74">
        <v>40225</v>
      </c>
      <c r="H548" s="75">
        <v>40228</v>
      </c>
      <c r="I548" s="71"/>
      <c r="J548" s="71"/>
      <c r="K548" s="71"/>
      <c r="L548" s="76"/>
    </row>
    <row r="549" spans="1:12">
      <c r="A549" s="71" t="s">
        <v>3518</v>
      </c>
      <c r="B549" s="71" t="s">
        <v>3259</v>
      </c>
      <c r="C549" s="71" t="s">
        <v>2760</v>
      </c>
      <c r="D549" s="71" t="s">
        <v>3519</v>
      </c>
      <c r="E549" s="72">
        <v>212455</v>
      </c>
      <c r="F549" s="73">
        <v>40148</v>
      </c>
      <c r="G549" s="74">
        <v>40225</v>
      </c>
      <c r="H549" s="75">
        <v>40228</v>
      </c>
      <c r="I549" s="75">
        <v>40410</v>
      </c>
      <c r="J549" s="75">
        <v>40420</v>
      </c>
      <c r="K549" s="71" t="s">
        <v>4079</v>
      </c>
      <c r="L549" s="76"/>
    </row>
    <row r="550" spans="1:12">
      <c r="A550" s="71" t="s">
        <v>3520</v>
      </c>
      <c r="B550" s="71" t="s">
        <v>3259</v>
      </c>
      <c r="C550" s="71" t="s">
        <v>3467</v>
      </c>
      <c r="D550" s="71" t="s">
        <v>1604</v>
      </c>
      <c r="E550" s="72">
        <v>163793</v>
      </c>
      <c r="F550" s="73">
        <v>40148</v>
      </c>
      <c r="G550" s="74">
        <v>40303</v>
      </c>
      <c r="H550" s="75">
        <v>40304</v>
      </c>
      <c r="I550" s="71"/>
      <c r="J550" s="71"/>
      <c r="K550" s="71"/>
      <c r="L550" s="76"/>
    </row>
    <row r="551" spans="1:12">
      <c r="A551" s="71" t="s">
        <v>1605</v>
      </c>
      <c r="B551" s="71" t="s">
        <v>3259</v>
      </c>
      <c r="C551" s="71" t="s">
        <v>2561</v>
      </c>
      <c r="D551" s="71" t="s">
        <v>1606</v>
      </c>
      <c r="E551" s="72"/>
      <c r="F551" s="73">
        <v>40179</v>
      </c>
      <c r="G551" s="74"/>
      <c r="H551" s="71"/>
      <c r="I551" s="71"/>
      <c r="J551" s="71"/>
      <c r="K551" s="71"/>
      <c r="L551" s="76"/>
    </row>
    <row r="552" spans="1:12" ht="22.5">
      <c r="A552" s="71" t="s">
        <v>1607</v>
      </c>
      <c r="B552" s="71" t="s">
        <v>2634</v>
      </c>
      <c r="C552" s="71"/>
      <c r="D552" s="71" t="s">
        <v>1608</v>
      </c>
      <c r="E552" s="72">
        <v>350000</v>
      </c>
      <c r="F552" s="73">
        <v>39828</v>
      </c>
      <c r="G552" s="74"/>
      <c r="H552" s="71"/>
      <c r="I552" s="71"/>
      <c r="J552" s="71"/>
      <c r="K552" s="71"/>
      <c r="L552" s="76" t="s">
        <v>1609</v>
      </c>
    </row>
    <row r="553" spans="1:12">
      <c r="A553" s="71" t="s">
        <v>1610</v>
      </c>
      <c r="B553" s="71" t="s">
        <v>1611</v>
      </c>
      <c r="C553" s="71" t="s">
        <v>4138</v>
      </c>
      <c r="D553" s="71" t="s">
        <v>1612</v>
      </c>
      <c r="E553" s="72">
        <v>1786000</v>
      </c>
      <c r="F553" s="73">
        <v>40213</v>
      </c>
      <c r="G553" s="74">
        <v>40393</v>
      </c>
      <c r="H553" s="75">
        <v>40415</v>
      </c>
      <c r="I553" s="71"/>
      <c r="J553" s="71"/>
      <c r="K553" s="71"/>
      <c r="L553" s="76"/>
    </row>
    <row r="554" spans="1:12">
      <c r="A554" s="71" t="s">
        <v>1613</v>
      </c>
      <c r="B554" s="71" t="s">
        <v>2897</v>
      </c>
      <c r="C554" s="71"/>
      <c r="D554" s="71" t="s">
        <v>1614</v>
      </c>
      <c r="E554" s="72">
        <v>100000</v>
      </c>
      <c r="F554" s="73">
        <v>40142</v>
      </c>
      <c r="G554" s="74"/>
      <c r="H554" s="71"/>
      <c r="I554" s="71"/>
      <c r="J554" s="71"/>
      <c r="K554" s="71"/>
      <c r="L554" s="76"/>
    </row>
    <row r="555" spans="1:12">
      <c r="A555" s="71" t="s">
        <v>1615</v>
      </c>
      <c r="B555" s="71" t="s">
        <v>3259</v>
      </c>
      <c r="C555" s="71" t="s">
        <v>1616</v>
      </c>
      <c r="D555" s="71" t="s">
        <v>1617</v>
      </c>
      <c r="E555" s="72">
        <v>605737</v>
      </c>
      <c r="F555" s="73">
        <v>40148</v>
      </c>
      <c r="G555" s="74">
        <v>40255</v>
      </c>
      <c r="H555" s="75">
        <v>40256</v>
      </c>
      <c r="I555" s="71"/>
      <c r="J555" s="71"/>
      <c r="K555" s="71"/>
      <c r="L555" s="76"/>
    </row>
    <row r="556" spans="1:12">
      <c r="A556" s="71" t="s">
        <v>1618</v>
      </c>
      <c r="B556" s="71" t="s">
        <v>3259</v>
      </c>
      <c r="C556" s="71" t="s">
        <v>1619</v>
      </c>
      <c r="D556" s="71" t="s">
        <v>1620</v>
      </c>
      <c r="E556" s="72">
        <v>461198</v>
      </c>
      <c r="F556" s="73">
        <v>40179</v>
      </c>
      <c r="G556" s="74">
        <v>40288</v>
      </c>
      <c r="H556" s="75">
        <v>40290</v>
      </c>
      <c r="I556" s="71"/>
      <c r="J556" s="71"/>
      <c r="K556" s="71"/>
      <c r="L556" s="76"/>
    </row>
    <row r="557" spans="1:12">
      <c r="A557" s="71" t="s">
        <v>1621</v>
      </c>
      <c r="B557" s="71" t="s">
        <v>3259</v>
      </c>
      <c r="C557" s="71" t="s">
        <v>1622</v>
      </c>
      <c r="D557" s="71" t="s">
        <v>1623</v>
      </c>
      <c r="E557" s="72">
        <v>2940344</v>
      </c>
      <c r="F557" s="73" t="s">
        <v>1624</v>
      </c>
      <c r="G557" s="74">
        <v>40316</v>
      </c>
      <c r="H557" s="75">
        <v>40322</v>
      </c>
      <c r="I557" s="71"/>
      <c r="J557" s="71"/>
      <c r="K557" s="71"/>
      <c r="L557" s="76"/>
    </row>
    <row r="558" spans="1:12">
      <c r="A558" s="71" t="s">
        <v>1625</v>
      </c>
      <c r="B558" s="71" t="s">
        <v>3259</v>
      </c>
      <c r="C558" s="71" t="s">
        <v>3158</v>
      </c>
      <c r="D558" s="71" t="s">
        <v>1626</v>
      </c>
      <c r="E558" s="72">
        <v>3500555</v>
      </c>
      <c r="F558" s="73">
        <v>40150</v>
      </c>
      <c r="G558" s="74">
        <v>40253</v>
      </c>
      <c r="H558" s="75">
        <v>40256</v>
      </c>
      <c r="I558" s="71"/>
      <c r="J558" s="71"/>
      <c r="K558" s="71"/>
      <c r="L558" s="76"/>
    </row>
    <row r="559" spans="1:12">
      <c r="A559" s="71" t="s">
        <v>1627</v>
      </c>
      <c r="B559" s="71" t="s">
        <v>3259</v>
      </c>
      <c r="C559" s="71" t="s">
        <v>1628</v>
      </c>
      <c r="D559" s="71" t="s">
        <v>1629</v>
      </c>
      <c r="E559" s="72">
        <v>1243309</v>
      </c>
      <c r="F559" s="73">
        <v>40115</v>
      </c>
      <c r="G559" s="74">
        <v>40183</v>
      </c>
      <c r="H559" s="75">
        <v>40184</v>
      </c>
      <c r="I559" s="75">
        <v>40428</v>
      </c>
      <c r="J559" s="75">
        <v>40429</v>
      </c>
      <c r="K559" s="71" t="s">
        <v>4079</v>
      </c>
      <c r="L559" s="76"/>
    </row>
    <row r="560" spans="1:12">
      <c r="A560" s="71" t="s">
        <v>1630</v>
      </c>
      <c r="B560" s="71" t="s">
        <v>3259</v>
      </c>
      <c r="C560" s="71" t="s">
        <v>3432</v>
      </c>
      <c r="D560" s="71" t="s">
        <v>1631</v>
      </c>
      <c r="E560" s="72">
        <v>78596</v>
      </c>
      <c r="F560" s="73">
        <v>40150</v>
      </c>
      <c r="G560" s="74"/>
      <c r="H560" s="71"/>
      <c r="I560" s="71"/>
      <c r="J560" s="71"/>
      <c r="K560" s="71"/>
      <c r="L560" s="76"/>
    </row>
    <row r="561" spans="1:12">
      <c r="A561" s="71" t="s">
        <v>1632</v>
      </c>
      <c r="B561" s="71" t="s">
        <v>3259</v>
      </c>
      <c r="C561" s="71" t="s">
        <v>3432</v>
      </c>
      <c r="D561" s="71" t="s">
        <v>3284</v>
      </c>
      <c r="E561" s="72">
        <v>158801</v>
      </c>
      <c r="F561" s="73">
        <v>40108</v>
      </c>
      <c r="G561" s="74" t="s">
        <v>4119</v>
      </c>
      <c r="H561" s="75" t="s">
        <v>4119</v>
      </c>
      <c r="I561" s="71"/>
      <c r="J561" s="71"/>
      <c r="K561" s="71"/>
      <c r="L561" s="76"/>
    </row>
    <row r="562" spans="1:12">
      <c r="A562" s="71" t="s">
        <v>1633</v>
      </c>
      <c r="B562" s="71" t="s">
        <v>4069</v>
      </c>
      <c r="C562" s="71" t="s">
        <v>1599</v>
      </c>
      <c r="D562" s="71" t="s">
        <v>1634</v>
      </c>
      <c r="E562" s="72">
        <v>394846</v>
      </c>
      <c r="F562" s="73">
        <v>40157</v>
      </c>
      <c r="G562" s="74">
        <v>40184</v>
      </c>
      <c r="H562" s="75">
        <v>40186</v>
      </c>
      <c r="I562" s="71"/>
      <c r="J562" s="71"/>
      <c r="K562" s="71"/>
      <c r="L562" s="76"/>
    </row>
    <row r="563" spans="1:12">
      <c r="A563" s="71" t="s">
        <v>1635</v>
      </c>
      <c r="B563" s="71" t="s">
        <v>4175</v>
      </c>
      <c r="C563" s="71" t="s">
        <v>1636</v>
      </c>
      <c r="D563" s="71" t="s">
        <v>1637</v>
      </c>
      <c r="E563" s="72">
        <v>162071</v>
      </c>
      <c r="F563" s="73">
        <v>40148</v>
      </c>
      <c r="G563" s="74">
        <v>40213</v>
      </c>
      <c r="H563" s="75">
        <v>40218</v>
      </c>
      <c r="I563" s="71"/>
      <c r="J563" s="71"/>
      <c r="K563" s="71"/>
      <c r="L563" s="76"/>
    </row>
    <row r="564" spans="1:12">
      <c r="A564" s="71" t="s">
        <v>1638</v>
      </c>
      <c r="B564" s="71" t="s">
        <v>4426</v>
      </c>
      <c r="C564" s="71" t="s">
        <v>1639</v>
      </c>
      <c r="D564" s="71" t="s">
        <v>1640</v>
      </c>
      <c r="E564" s="72">
        <v>4706975</v>
      </c>
      <c r="F564" s="73">
        <v>40175</v>
      </c>
      <c r="G564" s="74">
        <v>40190</v>
      </c>
      <c r="H564" s="75">
        <v>40198</v>
      </c>
      <c r="I564" s="71"/>
      <c r="J564" s="71"/>
      <c r="K564" s="71"/>
      <c r="L564" s="76"/>
    </row>
    <row r="565" spans="1:12">
      <c r="A565" s="71" t="s">
        <v>1641</v>
      </c>
      <c r="B565" s="71" t="s">
        <v>4069</v>
      </c>
      <c r="C565" s="71" t="s">
        <v>2872</v>
      </c>
      <c r="D565" s="71" t="s">
        <v>1642</v>
      </c>
      <c r="E565" s="72">
        <v>607400</v>
      </c>
      <c r="F565" s="73">
        <v>40224</v>
      </c>
      <c r="G565" s="74">
        <v>40428</v>
      </c>
      <c r="H565" s="75">
        <v>40434</v>
      </c>
      <c r="I565" s="71" t="s">
        <v>4119</v>
      </c>
      <c r="J565" s="71"/>
      <c r="K565" s="71"/>
      <c r="L565" s="76"/>
    </row>
    <row r="566" spans="1:12">
      <c r="A566" s="71" t="s">
        <v>1643</v>
      </c>
      <c r="B566" s="71" t="s">
        <v>4069</v>
      </c>
      <c r="C566" s="71"/>
      <c r="D566" s="71" t="s">
        <v>1644</v>
      </c>
      <c r="E566" s="72">
        <v>425000</v>
      </c>
      <c r="F566" s="73">
        <v>40371</v>
      </c>
      <c r="G566" s="74"/>
      <c r="H566" s="71"/>
      <c r="I566" s="71"/>
      <c r="J566" s="71"/>
      <c r="K566" s="71"/>
      <c r="L566" s="76"/>
    </row>
    <row r="567" spans="1:12">
      <c r="A567" s="71" t="s">
        <v>1645</v>
      </c>
      <c r="B567" s="71" t="s">
        <v>4133</v>
      </c>
      <c r="C567" s="71" t="s">
        <v>1622</v>
      </c>
      <c r="D567" s="71" t="s">
        <v>3042</v>
      </c>
      <c r="E567" s="72">
        <v>970322</v>
      </c>
      <c r="F567" s="73">
        <v>40212</v>
      </c>
      <c r="G567" s="74">
        <v>40275</v>
      </c>
      <c r="H567" s="75">
        <v>40281</v>
      </c>
      <c r="I567" s="71"/>
      <c r="J567" s="71"/>
      <c r="K567" s="71"/>
      <c r="L567" s="76"/>
    </row>
    <row r="568" spans="1:12">
      <c r="A568" s="71" t="s">
        <v>1646</v>
      </c>
      <c r="B568" s="71" t="s">
        <v>4066</v>
      </c>
      <c r="C568" s="71"/>
      <c r="D568" s="71" t="s">
        <v>1647</v>
      </c>
      <c r="E568" s="72">
        <v>1664400</v>
      </c>
      <c r="F568" s="73">
        <v>40191</v>
      </c>
      <c r="G568" s="74"/>
      <c r="H568" s="71"/>
      <c r="I568" s="71"/>
      <c r="J568" s="71"/>
      <c r="K568" s="71"/>
      <c r="L568" s="76"/>
    </row>
    <row r="569" spans="1:12">
      <c r="A569" s="71" t="s">
        <v>1648</v>
      </c>
      <c r="B569" s="71" t="s">
        <v>4069</v>
      </c>
      <c r="C569" s="71" t="s">
        <v>1649</v>
      </c>
      <c r="D569" s="71" t="s">
        <v>1650</v>
      </c>
      <c r="E569" s="72">
        <v>126200</v>
      </c>
      <c r="F569" s="73">
        <v>40192</v>
      </c>
      <c r="G569" s="74">
        <v>40226</v>
      </c>
      <c r="H569" s="75">
        <v>40228</v>
      </c>
      <c r="I569" s="75">
        <v>40379</v>
      </c>
      <c r="J569" s="75">
        <v>40409</v>
      </c>
      <c r="K569" s="71" t="s">
        <v>4079</v>
      </c>
      <c r="L569" s="76"/>
    </row>
    <row r="570" spans="1:12" ht="22.5">
      <c r="A570" s="71" t="s">
        <v>1651</v>
      </c>
      <c r="B570" s="71" t="s">
        <v>4273</v>
      </c>
      <c r="C570" s="71"/>
      <c r="D570" s="71" t="s">
        <v>1652</v>
      </c>
      <c r="E570" s="72">
        <v>10300000</v>
      </c>
      <c r="F570" s="73" t="s">
        <v>1653</v>
      </c>
      <c r="G570" s="74"/>
      <c r="H570" s="71"/>
      <c r="I570" s="71"/>
      <c r="J570" s="71"/>
      <c r="K570" s="71"/>
      <c r="L570" s="76"/>
    </row>
    <row r="571" spans="1:12">
      <c r="A571" s="71" t="s">
        <v>1654</v>
      </c>
      <c r="B571" s="71" t="s">
        <v>2897</v>
      </c>
      <c r="C571" s="71"/>
      <c r="D571" s="71" t="s">
        <v>1655</v>
      </c>
      <c r="E571" s="72">
        <v>300000</v>
      </c>
      <c r="F571" s="73">
        <v>40184</v>
      </c>
      <c r="G571" s="74"/>
      <c r="H571" s="71"/>
      <c r="I571" s="71"/>
      <c r="J571" s="71"/>
      <c r="K571" s="71"/>
      <c r="L571" s="76"/>
    </row>
    <row r="572" spans="1:12">
      <c r="A572" s="71" t="s">
        <v>1656</v>
      </c>
      <c r="B572" s="71" t="s">
        <v>4069</v>
      </c>
      <c r="C572" s="71"/>
      <c r="D572" s="71" t="s">
        <v>1657</v>
      </c>
      <c r="E572" s="72">
        <v>569393</v>
      </c>
      <c r="F572" s="73">
        <v>40211</v>
      </c>
      <c r="G572" s="74"/>
      <c r="H572" s="71"/>
      <c r="I572" s="71"/>
      <c r="J572" s="71"/>
      <c r="K572" s="71"/>
      <c r="L572" s="76"/>
    </row>
    <row r="573" spans="1:12">
      <c r="A573" s="71" t="s">
        <v>1658</v>
      </c>
      <c r="B573" s="71" t="s">
        <v>4069</v>
      </c>
      <c r="C573" s="71" t="s">
        <v>3353</v>
      </c>
      <c r="D573" s="71" t="s">
        <v>1659</v>
      </c>
      <c r="E573" s="72">
        <v>277230</v>
      </c>
      <c r="F573" s="73">
        <v>40210</v>
      </c>
      <c r="G573" s="74">
        <v>40245</v>
      </c>
      <c r="H573" s="71" t="s">
        <v>1660</v>
      </c>
      <c r="I573" s="71"/>
      <c r="J573" s="71"/>
      <c r="K573" s="71"/>
      <c r="L573" s="76"/>
    </row>
    <row r="574" spans="1:12">
      <c r="A574" s="71" t="s">
        <v>1661</v>
      </c>
      <c r="B574" s="71" t="s">
        <v>4069</v>
      </c>
      <c r="C574" s="71" t="s">
        <v>1662</v>
      </c>
      <c r="D574" s="71" t="s">
        <v>1663</v>
      </c>
      <c r="E574" s="72">
        <v>223181.91</v>
      </c>
      <c r="F574" s="73">
        <v>40179</v>
      </c>
      <c r="G574" s="74">
        <v>40233</v>
      </c>
      <c r="H574" s="75">
        <v>40233</v>
      </c>
      <c r="I574" s="71"/>
      <c r="J574" s="71"/>
      <c r="K574" s="71"/>
      <c r="L574" s="76"/>
    </row>
    <row r="575" spans="1:12">
      <c r="A575" s="71" t="s">
        <v>1664</v>
      </c>
      <c r="B575" s="71" t="s">
        <v>4442</v>
      </c>
      <c r="C575" s="71"/>
      <c r="D575" s="71" t="s">
        <v>1665</v>
      </c>
      <c r="E575" s="72">
        <v>450000</v>
      </c>
      <c r="F575" s="73">
        <v>40196</v>
      </c>
      <c r="G575" s="74"/>
      <c r="H575" s="71"/>
      <c r="I575" s="71"/>
      <c r="J575" s="71"/>
      <c r="K575" s="71"/>
      <c r="L575" s="76"/>
    </row>
    <row r="576" spans="1:12">
      <c r="A576" s="94">
        <v>40148</v>
      </c>
      <c r="B576" s="71"/>
      <c r="C576" s="71"/>
      <c r="D576" s="71"/>
      <c r="E576" s="72"/>
      <c r="F576" s="73"/>
      <c r="G576" s="74"/>
      <c r="H576" s="71"/>
      <c r="I576" s="71"/>
      <c r="J576" s="71"/>
      <c r="K576" s="71"/>
      <c r="L576" s="76"/>
    </row>
    <row r="577" spans="1:12">
      <c r="A577" s="71" t="s">
        <v>1666</v>
      </c>
      <c r="B577" s="71" t="s">
        <v>2897</v>
      </c>
      <c r="C577" s="71"/>
      <c r="D577" s="71" t="s">
        <v>1667</v>
      </c>
      <c r="E577" s="72">
        <v>399000</v>
      </c>
      <c r="F577" s="73">
        <v>40186</v>
      </c>
      <c r="G577" s="74"/>
      <c r="H577" s="71"/>
      <c r="I577" s="71"/>
      <c r="J577" s="71"/>
      <c r="K577" s="71"/>
      <c r="L577" s="76"/>
    </row>
    <row r="578" spans="1:12">
      <c r="A578" s="71" t="s">
        <v>1668</v>
      </c>
      <c r="B578" s="71" t="s">
        <v>4186</v>
      </c>
      <c r="C578" s="71" t="s">
        <v>3094</v>
      </c>
      <c r="D578" s="71" t="s">
        <v>1669</v>
      </c>
      <c r="E578" s="72">
        <v>375000</v>
      </c>
      <c r="F578" s="73">
        <v>40214</v>
      </c>
      <c r="G578" s="74">
        <v>40183</v>
      </c>
      <c r="H578" s="75">
        <v>40225</v>
      </c>
      <c r="I578" s="71"/>
      <c r="J578" s="71"/>
      <c r="K578" s="71"/>
      <c r="L578" s="76"/>
    </row>
    <row r="579" spans="1:12">
      <c r="A579" s="85" t="s">
        <v>1670</v>
      </c>
      <c r="B579" s="71" t="s">
        <v>4341</v>
      </c>
      <c r="C579" s="71" t="s">
        <v>3353</v>
      </c>
      <c r="D579" s="71" t="s">
        <v>3060</v>
      </c>
      <c r="E579" s="72">
        <v>987000</v>
      </c>
      <c r="F579" s="73">
        <v>40148</v>
      </c>
      <c r="G579" s="74">
        <v>40204</v>
      </c>
      <c r="H579" s="75">
        <v>40237</v>
      </c>
      <c r="I579" s="71"/>
      <c r="J579" s="71"/>
      <c r="K579" s="71"/>
      <c r="L579" s="76" t="s">
        <v>2877</v>
      </c>
    </row>
    <row r="580" spans="1:12">
      <c r="A580" s="85" t="s">
        <v>1671</v>
      </c>
      <c r="B580" s="71" t="s">
        <v>3363</v>
      </c>
      <c r="C580" s="71" t="s">
        <v>3353</v>
      </c>
      <c r="D580" s="71" t="s">
        <v>1672</v>
      </c>
      <c r="E580" s="72">
        <v>1453920</v>
      </c>
      <c r="F580" s="73">
        <v>40185</v>
      </c>
      <c r="G580" s="74">
        <v>40246</v>
      </c>
      <c r="H580" s="75">
        <v>40275</v>
      </c>
      <c r="I580" s="71"/>
      <c r="J580" s="71"/>
      <c r="K580" s="71"/>
      <c r="L580" s="76"/>
    </row>
    <row r="581" spans="1:12">
      <c r="A581" s="85" t="s">
        <v>1673</v>
      </c>
      <c r="B581" s="71" t="s">
        <v>4137</v>
      </c>
      <c r="C581" s="71" t="s">
        <v>1674</v>
      </c>
      <c r="D581" s="71" t="s">
        <v>1675</v>
      </c>
      <c r="E581" s="72">
        <v>218252</v>
      </c>
      <c r="F581" s="73">
        <v>40050</v>
      </c>
      <c r="G581" s="74">
        <v>40161</v>
      </c>
      <c r="H581" s="75">
        <v>40254</v>
      </c>
      <c r="I581" s="71"/>
      <c r="J581" s="71"/>
      <c r="K581" s="71"/>
      <c r="L581" s="76"/>
    </row>
    <row r="582" spans="1:12">
      <c r="A582" s="85" t="s">
        <v>1676</v>
      </c>
      <c r="B582" s="71" t="s">
        <v>4137</v>
      </c>
      <c r="C582" s="71" t="s">
        <v>3155</v>
      </c>
      <c r="D582" s="71" t="s">
        <v>1677</v>
      </c>
      <c r="E582" s="72">
        <v>194445</v>
      </c>
      <c r="F582" s="73">
        <v>40050</v>
      </c>
      <c r="G582" s="74">
        <v>40163</v>
      </c>
      <c r="H582" s="75">
        <v>40168</v>
      </c>
      <c r="I582" s="71"/>
      <c r="J582" s="71"/>
      <c r="K582" s="71"/>
      <c r="L582" s="76"/>
    </row>
    <row r="583" spans="1:12">
      <c r="A583" s="85" t="s">
        <v>1678</v>
      </c>
      <c r="B583" s="71" t="s">
        <v>4282</v>
      </c>
      <c r="C583" s="71" t="s">
        <v>1679</v>
      </c>
      <c r="D583" s="71" t="s">
        <v>1680</v>
      </c>
      <c r="E583" s="72">
        <v>917259</v>
      </c>
      <c r="F583" s="73">
        <v>40179</v>
      </c>
      <c r="G583" s="74">
        <v>40274</v>
      </c>
      <c r="H583" s="75">
        <v>40275</v>
      </c>
      <c r="I583" s="71"/>
      <c r="J583" s="71"/>
      <c r="K583" s="71"/>
      <c r="L583" s="76"/>
    </row>
    <row r="584" spans="1:12">
      <c r="A584" s="85" t="s">
        <v>1681</v>
      </c>
      <c r="B584" s="71" t="s">
        <v>1682</v>
      </c>
      <c r="C584" s="71" t="s">
        <v>3476</v>
      </c>
      <c r="D584" s="71" t="s">
        <v>1683</v>
      </c>
      <c r="E584" s="72">
        <v>1161087</v>
      </c>
      <c r="F584" s="73">
        <v>40270</v>
      </c>
      <c r="G584" s="74">
        <v>40358</v>
      </c>
      <c r="H584" s="75">
        <v>40365</v>
      </c>
      <c r="I584" s="71"/>
      <c r="J584" s="71"/>
      <c r="K584" s="71"/>
      <c r="L584" s="76"/>
    </row>
    <row r="585" spans="1:12">
      <c r="A585" s="85" t="s">
        <v>1684</v>
      </c>
      <c r="B585" s="71" t="s">
        <v>4133</v>
      </c>
      <c r="C585" s="71"/>
      <c r="D585" s="71" t="s">
        <v>1685</v>
      </c>
      <c r="E585" s="72">
        <v>150000</v>
      </c>
      <c r="F585" s="73">
        <v>40239</v>
      </c>
      <c r="G585" s="74"/>
      <c r="H585" s="75"/>
      <c r="I585" s="71"/>
      <c r="J585" s="71"/>
      <c r="K585" s="71"/>
      <c r="L585" s="76"/>
    </row>
    <row r="586" spans="1:12">
      <c r="A586" s="71" t="s">
        <v>1686</v>
      </c>
      <c r="B586" s="71" t="s">
        <v>4038</v>
      </c>
      <c r="C586" s="71"/>
      <c r="D586" s="71" t="s">
        <v>1687</v>
      </c>
      <c r="E586" s="72">
        <v>401000</v>
      </c>
      <c r="F586" s="75">
        <v>40197</v>
      </c>
      <c r="G586" s="74"/>
      <c r="H586" s="75"/>
      <c r="I586" s="71"/>
      <c r="J586" s="71"/>
      <c r="K586" s="71"/>
      <c r="L586" s="76"/>
    </row>
    <row r="587" spans="1:12">
      <c r="A587" s="71" t="s">
        <v>1688</v>
      </c>
      <c r="B587" s="71" t="s">
        <v>4128</v>
      </c>
      <c r="C587" s="71"/>
      <c r="D587" s="71" t="s">
        <v>1689</v>
      </c>
      <c r="E587" s="72">
        <v>704100</v>
      </c>
      <c r="F587" s="75">
        <v>40192</v>
      </c>
      <c r="G587" s="74"/>
      <c r="H587" s="75"/>
      <c r="I587" s="71"/>
      <c r="J587" s="71"/>
      <c r="K587" s="71"/>
      <c r="L587" s="76"/>
    </row>
    <row r="588" spans="1:12">
      <c r="A588" s="85" t="s">
        <v>1690</v>
      </c>
      <c r="B588" s="71" t="s">
        <v>3259</v>
      </c>
      <c r="C588" s="71" t="s">
        <v>3384</v>
      </c>
      <c r="D588" s="71" t="s">
        <v>1691</v>
      </c>
      <c r="E588" s="72">
        <v>393000</v>
      </c>
      <c r="F588" s="73">
        <v>40179</v>
      </c>
      <c r="G588" s="74">
        <v>40233</v>
      </c>
      <c r="H588" s="75">
        <v>40235</v>
      </c>
      <c r="I588" s="71"/>
      <c r="J588" s="71"/>
      <c r="K588" s="71"/>
      <c r="L588" s="76"/>
    </row>
    <row r="589" spans="1:12">
      <c r="A589" s="85" t="s">
        <v>1692</v>
      </c>
      <c r="B589" s="71" t="s">
        <v>4133</v>
      </c>
      <c r="C589" s="71"/>
      <c r="D589" s="71" t="s">
        <v>1693</v>
      </c>
      <c r="E589" s="72">
        <v>1350000</v>
      </c>
      <c r="F589" s="73">
        <v>40154</v>
      </c>
      <c r="G589" s="74"/>
      <c r="H589" s="75"/>
      <c r="I589" s="71"/>
      <c r="J589" s="71"/>
      <c r="K589" s="71"/>
      <c r="L589" s="76"/>
    </row>
    <row r="590" spans="1:12">
      <c r="A590" s="85" t="s">
        <v>1694</v>
      </c>
      <c r="B590" s="71" t="s">
        <v>3259</v>
      </c>
      <c r="C590" s="71" t="s">
        <v>1695</v>
      </c>
      <c r="D590" s="71" t="s">
        <v>1696</v>
      </c>
      <c r="E590" s="72">
        <v>4993571</v>
      </c>
      <c r="F590" s="73">
        <v>40179</v>
      </c>
      <c r="G590" s="74">
        <v>40316</v>
      </c>
      <c r="H590" s="75">
        <v>40319</v>
      </c>
      <c r="I590" s="71"/>
      <c r="J590" s="71"/>
      <c r="K590" s="71"/>
      <c r="L590" s="76"/>
    </row>
    <row r="591" spans="1:12">
      <c r="A591" s="85" t="s">
        <v>1697</v>
      </c>
      <c r="B591" s="71" t="s">
        <v>3148</v>
      </c>
      <c r="C591" s="71" t="s">
        <v>4228</v>
      </c>
      <c r="D591" s="71" t="s">
        <v>1698</v>
      </c>
      <c r="E591" s="72">
        <v>168843.08</v>
      </c>
      <c r="F591" s="73">
        <v>40214</v>
      </c>
      <c r="G591" s="74">
        <v>40252</v>
      </c>
      <c r="H591" s="75">
        <v>40288</v>
      </c>
      <c r="I591" s="71"/>
      <c r="J591" s="71"/>
      <c r="K591" s="71"/>
      <c r="L591" s="76"/>
    </row>
    <row r="592" spans="1:12">
      <c r="A592" s="85" t="s">
        <v>1699</v>
      </c>
      <c r="B592" s="71" t="s">
        <v>4069</v>
      </c>
      <c r="C592" s="71" t="s">
        <v>3476</v>
      </c>
      <c r="D592" s="71" t="s">
        <v>1700</v>
      </c>
      <c r="E592" s="72">
        <v>2346235.52</v>
      </c>
      <c r="F592" s="73">
        <v>40179</v>
      </c>
      <c r="G592" s="74">
        <v>40260</v>
      </c>
      <c r="H592" s="75">
        <v>40435</v>
      </c>
      <c r="I592" s="71"/>
      <c r="J592" s="71"/>
      <c r="K592" s="71"/>
      <c r="L592" s="76"/>
    </row>
    <row r="593" spans="1:12">
      <c r="A593" s="85" t="s">
        <v>1701</v>
      </c>
      <c r="B593" s="71" t="s">
        <v>4069</v>
      </c>
      <c r="C593" s="71" t="s">
        <v>1702</v>
      </c>
      <c r="D593" s="71" t="s">
        <v>1703</v>
      </c>
      <c r="E593" s="72"/>
      <c r="F593" s="73">
        <v>40210</v>
      </c>
      <c r="G593" s="74"/>
      <c r="H593" s="75"/>
      <c r="I593" s="71"/>
      <c r="J593" s="71"/>
      <c r="K593" s="71"/>
      <c r="L593" s="76"/>
    </row>
    <row r="594" spans="1:12">
      <c r="A594" s="85" t="s">
        <v>1704</v>
      </c>
      <c r="B594" s="71" t="s">
        <v>3259</v>
      </c>
      <c r="C594" s="71" t="s">
        <v>1705</v>
      </c>
      <c r="D594" s="71" t="s">
        <v>1706</v>
      </c>
      <c r="E594" s="72">
        <v>2524482</v>
      </c>
      <c r="F594" s="73">
        <v>40179</v>
      </c>
      <c r="G594" s="74">
        <v>40302</v>
      </c>
      <c r="H594" s="75">
        <v>40406</v>
      </c>
      <c r="I594" s="71"/>
      <c r="J594" s="71"/>
      <c r="K594" s="71"/>
      <c r="L594" s="76"/>
    </row>
    <row r="595" spans="1:12">
      <c r="A595" s="85" t="s">
        <v>1707</v>
      </c>
      <c r="B595" s="71" t="s">
        <v>4062</v>
      </c>
      <c r="C595" s="71" t="s">
        <v>1708</v>
      </c>
      <c r="D595" s="71" t="s">
        <v>1709</v>
      </c>
      <c r="E595" s="72">
        <v>587112</v>
      </c>
      <c r="F595" s="73">
        <v>40199</v>
      </c>
      <c r="G595" s="74">
        <v>40206</v>
      </c>
      <c r="H595" s="75">
        <v>40207</v>
      </c>
      <c r="I595" s="71"/>
      <c r="J595" s="71"/>
      <c r="K595" s="71"/>
      <c r="L595" s="76"/>
    </row>
    <row r="596" spans="1:12" ht="22.5">
      <c r="A596" s="85" t="s">
        <v>1710</v>
      </c>
      <c r="B596" s="71" t="s">
        <v>3259</v>
      </c>
      <c r="C596" s="71" t="s">
        <v>1711</v>
      </c>
      <c r="D596" s="71" t="s">
        <v>1712</v>
      </c>
      <c r="E596" s="72">
        <v>2642272.9300000002</v>
      </c>
      <c r="F596" s="73">
        <v>40210</v>
      </c>
      <c r="G596" s="74">
        <v>40274</v>
      </c>
      <c r="H596" s="75">
        <v>40277</v>
      </c>
      <c r="I596" s="71"/>
      <c r="J596" s="71"/>
      <c r="K596" s="71"/>
      <c r="L596" s="76" t="s">
        <v>1713</v>
      </c>
    </row>
    <row r="597" spans="1:12" ht="22.5">
      <c r="A597" s="85" t="s">
        <v>1714</v>
      </c>
      <c r="B597" s="71" t="s">
        <v>3259</v>
      </c>
      <c r="C597" s="71" t="s">
        <v>1711</v>
      </c>
      <c r="D597" s="71" t="s">
        <v>1715</v>
      </c>
      <c r="E597" s="72">
        <v>1763600</v>
      </c>
      <c r="F597" s="73">
        <v>40210</v>
      </c>
      <c r="G597" s="74">
        <v>40274</v>
      </c>
      <c r="H597" s="75">
        <v>40277</v>
      </c>
      <c r="I597" s="71"/>
      <c r="J597" s="71"/>
      <c r="K597" s="71"/>
      <c r="L597" s="76" t="s">
        <v>1716</v>
      </c>
    </row>
    <row r="598" spans="1:12" ht="22.5">
      <c r="A598" s="85" t="s">
        <v>1717</v>
      </c>
      <c r="B598" s="71" t="s">
        <v>3259</v>
      </c>
      <c r="C598" s="71" t="s">
        <v>1718</v>
      </c>
      <c r="D598" s="71" t="s">
        <v>1719</v>
      </c>
      <c r="E598" s="72">
        <v>3254515.52</v>
      </c>
      <c r="F598" s="73">
        <v>40210</v>
      </c>
      <c r="G598" s="74">
        <v>40275</v>
      </c>
      <c r="H598" s="75">
        <v>40277</v>
      </c>
      <c r="I598" s="71"/>
      <c r="J598" s="71"/>
      <c r="K598" s="71"/>
      <c r="L598" s="76" t="s">
        <v>1720</v>
      </c>
    </row>
    <row r="599" spans="1:12" ht="22.5">
      <c r="A599" s="71" t="s">
        <v>1721</v>
      </c>
      <c r="B599" s="71" t="s">
        <v>3259</v>
      </c>
      <c r="C599" s="71" t="s">
        <v>1722</v>
      </c>
      <c r="D599" s="71" t="s">
        <v>1723</v>
      </c>
      <c r="E599" s="72">
        <v>164000</v>
      </c>
      <c r="F599" s="73">
        <v>40210</v>
      </c>
      <c r="G599" s="74">
        <v>40233</v>
      </c>
      <c r="H599" s="75">
        <v>40256</v>
      </c>
      <c r="I599" s="71"/>
      <c r="J599" s="71"/>
      <c r="K599" s="71"/>
      <c r="L599" s="76" t="s">
        <v>1724</v>
      </c>
    </row>
    <row r="600" spans="1:12">
      <c r="A600" s="71" t="s">
        <v>1725</v>
      </c>
      <c r="B600" s="71" t="s">
        <v>1726</v>
      </c>
      <c r="C600" s="71" t="s">
        <v>1727</v>
      </c>
      <c r="D600" s="71" t="s">
        <v>1728</v>
      </c>
      <c r="E600" s="72">
        <v>190950</v>
      </c>
      <c r="F600" s="73">
        <v>40232</v>
      </c>
      <c r="G600" s="74">
        <v>40337</v>
      </c>
      <c r="H600" s="75">
        <v>40379</v>
      </c>
      <c r="I600" s="71"/>
      <c r="J600" s="71"/>
      <c r="K600" s="71"/>
      <c r="L600" s="76"/>
    </row>
    <row r="601" spans="1:12" ht="22.5">
      <c r="A601" s="71" t="s">
        <v>1729</v>
      </c>
      <c r="B601" s="71" t="s">
        <v>4231</v>
      </c>
      <c r="C601" s="71"/>
      <c r="D601" s="71" t="s">
        <v>1730</v>
      </c>
      <c r="E601" s="72">
        <v>159933.63</v>
      </c>
      <c r="F601" s="73" t="s">
        <v>1653</v>
      </c>
      <c r="G601" s="74"/>
      <c r="H601" s="71"/>
      <c r="I601" s="71"/>
      <c r="J601" s="71"/>
      <c r="K601" s="71"/>
      <c r="L601" s="76"/>
    </row>
    <row r="602" spans="1:12">
      <c r="A602" s="71" t="s">
        <v>1731</v>
      </c>
      <c r="B602" s="71" t="s">
        <v>3259</v>
      </c>
      <c r="C602" s="71" t="s">
        <v>1732</v>
      </c>
      <c r="D602" s="71" t="s">
        <v>1733</v>
      </c>
      <c r="E602" s="72">
        <v>150008</v>
      </c>
      <c r="F602" s="73">
        <v>40179</v>
      </c>
      <c r="G602" s="74">
        <v>40232</v>
      </c>
      <c r="H602" s="75">
        <v>40234</v>
      </c>
      <c r="I602" s="71"/>
      <c r="J602" s="71"/>
      <c r="K602" s="71"/>
      <c r="L602" s="76"/>
    </row>
    <row r="603" spans="1:12" ht="22.5">
      <c r="A603" s="71" t="s">
        <v>1734</v>
      </c>
      <c r="B603" s="71" t="s">
        <v>4273</v>
      </c>
      <c r="C603" s="71"/>
      <c r="D603" s="71" t="s">
        <v>1735</v>
      </c>
      <c r="E603" s="72">
        <v>43370000</v>
      </c>
      <c r="F603" s="73" t="s">
        <v>1653</v>
      </c>
      <c r="G603" s="74"/>
      <c r="H603" s="71"/>
      <c r="I603" s="71"/>
      <c r="J603" s="71"/>
      <c r="K603" s="71"/>
      <c r="L603" s="76"/>
    </row>
    <row r="604" spans="1:12">
      <c r="A604" s="71" t="s">
        <v>1736</v>
      </c>
      <c r="B604" s="71" t="s">
        <v>4128</v>
      </c>
      <c r="C604" s="71" t="s">
        <v>1737</v>
      </c>
      <c r="D604" s="71" t="s">
        <v>1738</v>
      </c>
      <c r="E604" s="72">
        <v>155984</v>
      </c>
      <c r="F604" s="73">
        <v>39841</v>
      </c>
      <c r="G604" s="74">
        <v>40267</v>
      </c>
      <c r="H604" s="75">
        <v>40268</v>
      </c>
      <c r="I604" s="71"/>
      <c r="J604" s="71"/>
      <c r="K604" s="71"/>
      <c r="L604" s="76"/>
    </row>
    <row r="605" spans="1:12">
      <c r="A605" s="71" t="s">
        <v>1739</v>
      </c>
      <c r="B605" s="71" t="s">
        <v>4128</v>
      </c>
      <c r="C605" s="71" t="s">
        <v>1740</v>
      </c>
      <c r="D605" s="71" t="s">
        <v>1741</v>
      </c>
      <c r="E605" s="72">
        <v>22837880.949999999</v>
      </c>
      <c r="F605" s="73">
        <v>40205</v>
      </c>
      <c r="G605" s="74">
        <v>40289</v>
      </c>
      <c r="H605" s="75">
        <v>40289</v>
      </c>
      <c r="I605" s="71"/>
      <c r="J605" s="71"/>
      <c r="K605" s="71"/>
      <c r="L605" s="76"/>
    </row>
    <row r="606" spans="1:12">
      <c r="A606" s="94">
        <v>40179</v>
      </c>
      <c r="B606" s="71"/>
      <c r="C606" s="71"/>
      <c r="D606" s="71"/>
      <c r="E606" s="71"/>
      <c r="F606" s="71"/>
      <c r="G606" s="74"/>
      <c r="H606" s="71"/>
      <c r="I606" s="71"/>
      <c r="J606" s="71"/>
      <c r="K606" s="71"/>
      <c r="L606" s="76"/>
    </row>
    <row r="607" spans="1:12">
      <c r="A607" s="71" t="s">
        <v>1742</v>
      </c>
      <c r="B607" s="71" t="s">
        <v>1743</v>
      </c>
      <c r="C607" s="71" t="s">
        <v>1744</v>
      </c>
      <c r="D607" s="71" t="s">
        <v>1745</v>
      </c>
      <c r="E607" s="72">
        <v>946662</v>
      </c>
      <c r="F607" s="73">
        <v>40210</v>
      </c>
      <c r="G607" s="74">
        <v>40214</v>
      </c>
      <c r="H607" s="75">
        <v>40218</v>
      </c>
      <c r="I607" s="71"/>
      <c r="J607" s="71"/>
      <c r="K607" s="71"/>
      <c r="L607" s="76" t="s">
        <v>2877</v>
      </c>
    </row>
    <row r="608" spans="1:12">
      <c r="A608" s="71" t="s">
        <v>1746</v>
      </c>
      <c r="B608" s="71" t="s">
        <v>1747</v>
      </c>
      <c r="C608" s="71"/>
      <c r="D608" s="71" t="s">
        <v>1748</v>
      </c>
      <c r="E608" s="72">
        <v>150000</v>
      </c>
      <c r="F608" s="73">
        <v>40221</v>
      </c>
      <c r="G608" s="74"/>
      <c r="H608" s="71"/>
      <c r="I608" s="71"/>
      <c r="J608" s="71"/>
      <c r="K608" s="71"/>
      <c r="L608" s="76"/>
    </row>
    <row r="609" spans="1:12">
      <c r="A609" s="71" t="s">
        <v>1749</v>
      </c>
      <c r="B609" s="71" t="s">
        <v>4133</v>
      </c>
      <c r="C609" s="71"/>
      <c r="D609" s="71" t="s">
        <v>1750</v>
      </c>
      <c r="E609" s="72">
        <v>7000000</v>
      </c>
      <c r="F609" s="73">
        <v>40394</v>
      </c>
      <c r="G609" s="74"/>
      <c r="H609" s="71"/>
      <c r="I609" s="71"/>
      <c r="J609" s="71"/>
      <c r="K609" s="71"/>
      <c r="L609" s="76"/>
    </row>
    <row r="610" spans="1:12">
      <c r="A610" s="71" t="s">
        <v>1751</v>
      </c>
      <c r="B610" s="71" t="s">
        <v>4133</v>
      </c>
      <c r="C610" s="71"/>
      <c r="D610" s="71" t="s">
        <v>1752</v>
      </c>
      <c r="E610" s="72">
        <v>4600000</v>
      </c>
      <c r="F610" s="73">
        <v>40262</v>
      </c>
      <c r="G610" s="74"/>
      <c r="H610" s="71"/>
      <c r="I610" s="71"/>
      <c r="J610" s="71"/>
      <c r="K610" s="71"/>
      <c r="L610" s="76"/>
    </row>
    <row r="611" spans="1:12">
      <c r="A611" s="71" t="s">
        <v>1753</v>
      </c>
      <c r="B611" s="71" t="s">
        <v>4062</v>
      </c>
      <c r="C611" s="71" t="s">
        <v>3353</v>
      </c>
      <c r="D611" s="71" t="s">
        <v>1754</v>
      </c>
      <c r="E611" s="72">
        <v>397500</v>
      </c>
      <c r="F611" s="73">
        <v>40213</v>
      </c>
      <c r="G611" s="74">
        <v>40220</v>
      </c>
      <c r="H611" s="75">
        <v>40221</v>
      </c>
      <c r="I611" s="71"/>
      <c r="J611" s="71"/>
      <c r="K611" s="71"/>
      <c r="L611" s="76"/>
    </row>
    <row r="612" spans="1:12">
      <c r="A612" s="71" t="s">
        <v>1755</v>
      </c>
      <c r="B612" s="71" t="s">
        <v>4133</v>
      </c>
      <c r="C612" s="71" t="s">
        <v>2989</v>
      </c>
      <c r="D612" s="71" t="s">
        <v>1756</v>
      </c>
      <c r="E612" s="72">
        <v>2900000</v>
      </c>
      <c r="F612" s="73">
        <v>40233</v>
      </c>
      <c r="G612" s="74">
        <v>40276</v>
      </c>
      <c r="H612" s="75">
        <v>40378</v>
      </c>
      <c r="I612" s="71"/>
      <c r="J612" s="71"/>
      <c r="K612" s="71"/>
      <c r="L612" s="76"/>
    </row>
    <row r="613" spans="1:12" ht="22.5">
      <c r="A613" s="71" t="s">
        <v>1757</v>
      </c>
      <c r="B613" s="71" t="s">
        <v>4069</v>
      </c>
      <c r="C613" s="71" t="s">
        <v>1758</v>
      </c>
      <c r="D613" s="71" t="s">
        <v>1759</v>
      </c>
      <c r="E613" s="72">
        <v>66791</v>
      </c>
      <c r="F613" s="73">
        <v>40210</v>
      </c>
      <c r="G613" s="74"/>
      <c r="H613" s="71"/>
      <c r="I613" s="71"/>
      <c r="J613" s="71"/>
      <c r="K613" s="71"/>
      <c r="L613" s="76"/>
    </row>
    <row r="614" spans="1:12">
      <c r="A614" s="71" t="s">
        <v>1760</v>
      </c>
      <c r="B614" s="71" t="s">
        <v>4128</v>
      </c>
      <c r="C614" s="71" t="s">
        <v>1761</v>
      </c>
      <c r="D614" s="71" t="s">
        <v>1762</v>
      </c>
      <c r="E614" s="72">
        <v>203850</v>
      </c>
      <c r="F614" s="73">
        <v>40213</v>
      </c>
      <c r="G614" s="74">
        <v>40269</v>
      </c>
      <c r="H614" s="75">
        <v>40269</v>
      </c>
      <c r="I614" s="71"/>
      <c r="J614" s="71"/>
      <c r="K614" s="71"/>
      <c r="L614" s="76"/>
    </row>
    <row r="615" spans="1:12">
      <c r="A615" s="71" t="s">
        <v>1763</v>
      </c>
      <c r="B615" s="71" t="s">
        <v>3259</v>
      </c>
      <c r="C615" s="71" t="s">
        <v>3353</v>
      </c>
      <c r="D615" s="71" t="s">
        <v>1764</v>
      </c>
      <c r="E615" s="72">
        <v>5038050</v>
      </c>
      <c r="F615" s="73">
        <v>40238</v>
      </c>
      <c r="G615" s="74">
        <v>40303</v>
      </c>
      <c r="H615" s="75">
        <v>40304</v>
      </c>
      <c r="I615" s="71"/>
      <c r="J615" s="71"/>
      <c r="K615" s="71"/>
      <c r="L615" s="76"/>
    </row>
    <row r="616" spans="1:12">
      <c r="A616" s="71" t="s">
        <v>1765</v>
      </c>
      <c r="B616" s="71" t="s">
        <v>4435</v>
      </c>
      <c r="C616" s="71" t="s">
        <v>1695</v>
      </c>
      <c r="D616" s="71" t="s">
        <v>1766</v>
      </c>
      <c r="E616" s="72">
        <v>134417.60000000001</v>
      </c>
      <c r="F616" s="73">
        <v>40219</v>
      </c>
      <c r="G616" s="74">
        <v>40227</v>
      </c>
      <c r="H616" s="75">
        <v>40249</v>
      </c>
      <c r="I616" s="71"/>
      <c r="J616" s="71"/>
      <c r="K616" s="71"/>
      <c r="L616" s="76"/>
    </row>
    <row r="617" spans="1:12" ht="22.5">
      <c r="A617" s="71" t="s">
        <v>1767</v>
      </c>
      <c r="B617" s="71" t="s">
        <v>4069</v>
      </c>
      <c r="C617" s="71" t="s">
        <v>1758</v>
      </c>
      <c r="D617" s="71" t="s">
        <v>1768</v>
      </c>
      <c r="E617" s="72"/>
      <c r="F617" s="73">
        <v>40210</v>
      </c>
      <c r="G617" s="74"/>
      <c r="H617" s="71"/>
      <c r="I617" s="71"/>
      <c r="J617" s="71"/>
      <c r="K617" s="71"/>
      <c r="L617" s="76"/>
    </row>
    <row r="618" spans="1:12">
      <c r="A618" s="71" t="s">
        <v>1769</v>
      </c>
      <c r="B618" s="71" t="s">
        <v>4273</v>
      </c>
      <c r="C618" s="71" t="s">
        <v>1770</v>
      </c>
      <c r="D618" s="71" t="s">
        <v>1771</v>
      </c>
      <c r="E618" s="72">
        <v>7630870</v>
      </c>
      <c r="F618" s="73">
        <v>40242</v>
      </c>
      <c r="G618" s="74">
        <v>40198</v>
      </c>
      <c r="H618" s="75">
        <v>40198</v>
      </c>
      <c r="I618" s="71"/>
      <c r="J618" s="71"/>
      <c r="K618" s="71"/>
      <c r="L618" s="76"/>
    </row>
    <row r="619" spans="1:12" ht="22.5">
      <c r="A619" s="71" t="s">
        <v>1772</v>
      </c>
      <c r="B619" s="71" t="s">
        <v>4128</v>
      </c>
      <c r="C619" s="71" t="s">
        <v>3353</v>
      </c>
      <c r="D619" s="71" t="s">
        <v>1773</v>
      </c>
      <c r="E619" s="72">
        <v>2196382</v>
      </c>
      <c r="F619" s="73">
        <v>40220</v>
      </c>
      <c r="G619" s="74">
        <v>40275</v>
      </c>
      <c r="H619" s="75">
        <v>40275</v>
      </c>
      <c r="I619" s="71"/>
      <c r="J619" s="71"/>
      <c r="K619" s="71"/>
      <c r="L619" s="76"/>
    </row>
    <row r="620" spans="1:12">
      <c r="A620" s="71" t="s">
        <v>1774</v>
      </c>
      <c r="B620" s="71" t="s">
        <v>4062</v>
      </c>
      <c r="C620" s="71" t="s">
        <v>4289</v>
      </c>
      <c r="D620" s="71" t="s">
        <v>1775</v>
      </c>
      <c r="E620" s="72">
        <v>3038268</v>
      </c>
      <c r="F620" s="73">
        <v>40226</v>
      </c>
      <c r="G620" s="74">
        <v>40248</v>
      </c>
      <c r="H620" s="75">
        <v>40249</v>
      </c>
      <c r="I620" s="71"/>
      <c r="J620" s="71"/>
      <c r="K620" s="71"/>
      <c r="L620" s="76"/>
    </row>
    <row r="621" spans="1:12">
      <c r="A621" s="71" t="s">
        <v>1776</v>
      </c>
      <c r="B621" s="71" t="s">
        <v>4133</v>
      </c>
      <c r="C621" s="71" t="s">
        <v>4119</v>
      </c>
      <c r="D621" s="71" t="s">
        <v>1777</v>
      </c>
      <c r="E621" s="72">
        <v>300000</v>
      </c>
      <c r="F621" s="73">
        <v>40253</v>
      </c>
      <c r="G621" s="74"/>
      <c r="H621" s="71"/>
      <c r="I621" s="71"/>
      <c r="J621" s="71"/>
      <c r="K621" s="71"/>
      <c r="L621" s="76"/>
    </row>
    <row r="622" spans="1:12" ht="22.5">
      <c r="A622" s="71" t="s">
        <v>1778</v>
      </c>
      <c r="B622" s="71" t="s">
        <v>4062</v>
      </c>
      <c r="C622" s="71" t="s">
        <v>1779</v>
      </c>
      <c r="D622" s="71" t="s">
        <v>1780</v>
      </c>
      <c r="E622" s="72">
        <v>3063827</v>
      </c>
      <c r="F622" s="73">
        <v>40241</v>
      </c>
      <c r="G622" s="74">
        <v>40262</v>
      </c>
      <c r="H622" s="75">
        <v>40263</v>
      </c>
      <c r="I622" s="71"/>
      <c r="J622" s="71"/>
      <c r="K622" s="71"/>
      <c r="L622" s="76"/>
    </row>
    <row r="623" spans="1:12">
      <c r="A623" s="71" t="s">
        <v>1781</v>
      </c>
      <c r="B623" s="71" t="s">
        <v>4341</v>
      </c>
      <c r="C623" s="71" t="s">
        <v>1782</v>
      </c>
      <c r="D623" s="71" t="s">
        <v>1783</v>
      </c>
      <c r="E623" s="72">
        <v>352141.56</v>
      </c>
      <c r="F623" s="73">
        <v>40234</v>
      </c>
      <c r="G623" s="74">
        <v>40281</v>
      </c>
      <c r="H623" s="75">
        <v>40282</v>
      </c>
      <c r="I623" s="71"/>
      <c r="J623" s="71"/>
      <c r="K623" s="71"/>
      <c r="L623" s="76"/>
    </row>
    <row r="624" spans="1:12">
      <c r="A624" s="71" t="s">
        <v>1784</v>
      </c>
      <c r="B624" s="71" t="s">
        <v>4128</v>
      </c>
      <c r="C624" s="71" t="s">
        <v>1785</v>
      </c>
      <c r="D624" s="71" t="s">
        <v>1786</v>
      </c>
      <c r="E624" s="72">
        <v>140241000</v>
      </c>
      <c r="F624" s="73">
        <v>40066</v>
      </c>
      <c r="G624" s="74">
        <v>40134</v>
      </c>
      <c r="H624" s="75">
        <v>40236</v>
      </c>
      <c r="I624" s="71"/>
      <c r="J624" s="71"/>
      <c r="K624" s="71"/>
      <c r="L624" s="76"/>
    </row>
    <row r="625" spans="1:12">
      <c r="A625" s="71" t="s">
        <v>1787</v>
      </c>
      <c r="B625" s="71" t="s">
        <v>4069</v>
      </c>
      <c r="C625" s="71" t="s">
        <v>1788</v>
      </c>
      <c r="D625" s="71" t="s">
        <v>1789</v>
      </c>
      <c r="E625" s="72">
        <v>873354.35</v>
      </c>
      <c r="F625" s="73">
        <v>40238</v>
      </c>
      <c r="G625" s="74">
        <v>40238</v>
      </c>
      <c r="H625" s="75">
        <v>40239</v>
      </c>
      <c r="I625" s="71"/>
      <c r="J625" s="71"/>
      <c r="K625" s="71"/>
      <c r="L625" s="76"/>
    </row>
    <row r="626" spans="1:12" ht="22.5">
      <c r="A626" s="71" t="s">
        <v>1790</v>
      </c>
      <c r="B626" s="71" t="s">
        <v>4128</v>
      </c>
      <c r="C626" s="71" t="s">
        <v>1758</v>
      </c>
      <c r="D626" s="71" t="s">
        <v>1791</v>
      </c>
      <c r="E626" s="72"/>
      <c r="F626" s="73">
        <v>40225</v>
      </c>
      <c r="G626" s="74"/>
      <c r="H626" s="71"/>
      <c r="I626" s="71"/>
      <c r="J626" s="71"/>
      <c r="K626" s="71"/>
      <c r="L626" s="76"/>
    </row>
    <row r="627" spans="1:12" ht="22.5">
      <c r="A627" s="71" t="s">
        <v>1792</v>
      </c>
      <c r="B627" s="71" t="s">
        <v>1793</v>
      </c>
      <c r="C627" s="71" t="s">
        <v>1794</v>
      </c>
      <c r="D627" s="71" t="s">
        <v>1795</v>
      </c>
      <c r="E627" s="72">
        <v>590000</v>
      </c>
      <c r="F627" s="73">
        <v>40238</v>
      </c>
      <c r="G627" s="74">
        <v>40274</v>
      </c>
      <c r="H627" s="75">
        <v>40289</v>
      </c>
      <c r="I627" s="71"/>
      <c r="J627" s="71"/>
      <c r="K627" s="71"/>
      <c r="L627" s="76"/>
    </row>
    <row r="628" spans="1:12">
      <c r="A628" s="71" t="s">
        <v>1796</v>
      </c>
      <c r="B628" s="71" t="s">
        <v>4056</v>
      </c>
      <c r="C628" s="71"/>
      <c r="D628" s="71" t="s">
        <v>1797</v>
      </c>
      <c r="E628" s="72">
        <v>2000000</v>
      </c>
      <c r="F628" s="73">
        <v>40299</v>
      </c>
      <c r="G628" s="74"/>
      <c r="H628" s="71"/>
      <c r="I628" s="71"/>
      <c r="J628" s="71"/>
      <c r="K628" s="71"/>
      <c r="L628" s="76"/>
    </row>
    <row r="629" spans="1:12" ht="22.5">
      <c r="A629" s="71" t="s">
        <v>1798</v>
      </c>
      <c r="B629" s="71" t="s">
        <v>1793</v>
      </c>
      <c r="C629" s="71" t="s">
        <v>1799</v>
      </c>
      <c r="D629" s="71" t="s">
        <v>1800</v>
      </c>
      <c r="E629" s="72">
        <v>492470</v>
      </c>
      <c r="F629" s="73">
        <v>40238</v>
      </c>
      <c r="G629" s="74">
        <v>40274</v>
      </c>
      <c r="H629" s="75">
        <v>40289</v>
      </c>
      <c r="I629" s="71"/>
      <c r="J629" s="71"/>
      <c r="K629" s="71"/>
      <c r="L629" s="76"/>
    </row>
    <row r="630" spans="1:12">
      <c r="A630" s="94">
        <v>40210</v>
      </c>
      <c r="B630" s="71"/>
      <c r="C630" s="71"/>
      <c r="D630" s="71"/>
      <c r="E630" s="72"/>
      <c r="F630" s="73"/>
      <c r="G630" s="74"/>
      <c r="H630" s="71"/>
      <c r="I630" s="71"/>
      <c r="J630" s="71"/>
      <c r="K630" s="71"/>
      <c r="L630" s="76"/>
    </row>
    <row r="631" spans="1:12">
      <c r="A631" s="71" t="s">
        <v>1801</v>
      </c>
      <c r="B631" s="71" t="s">
        <v>4128</v>
      </c>
      <c r="C631" s="71" t="s">
        <v>1802</v>
      </c>
      <c r="D631" s="71" t="s">
        <v>1803</v>
      </c>
      <c r="E631" s="72">
        <v>1191583.26</v>
      </c>
      <c r="F631" s="73">
        <v>40231</v>
      </c>
      <c r="G631" s="74">
        <v>40248</v>
      </c>
      <c r="H631" s="75">
        <v>40275</v>
      </c>
      <c r="I631" s="71"/>
      <c r="J631" s="71"/>
      <c r="K631" s="71"/>
      <c r="L631" s="76"/>
    </row>
    <row r="632" spans="1:12">
      <c r="A632" s="71" t="s">
        <v>1804</v>
      </c>
      <c r="B632" s="71" t="s">
        <v>4133</v>
      </c>
      <c r="C632" s="71"/>
      <c r="D632" s="71" t="s">
        <v>1805</v>
      </c>
      <c r="E632" s="72">
        <v>4300000</v>
      </c>
      <c r="F632" s="73">
        <v>40261</v>
      </c>
      <c r="G632" s="74"/>
      <c r="H632" s="71"/>
      <c r="I632" s="71"/>
      <c r="J632" s="71"/>
      <c r="K632" s="71"/>
      <c r="L632" s="76"/>
    </row>
    <row r="633" spans="1:12">
      <c r="A633" s="71" t="s">
        <v>1806</v>
      </c>
      <c r="B633" s="71" t="s">
        <v>4133</v>
      </c>
      <c r="C633" s="71"/>
      <c r="D633" s="71" t="s">
        <v>1807</v>
      </c>
      <c r="E633" s="72">
        <v>650000</v>
      </c>
      <c r="F633" s="73">
        <v>40249</v>
      </c>
      <c r="G633" s="74"/>
      <c r="H633" s="71"/>
      <c r="I633" s="71"/>
      <c r="J633" s="71"/>
      <c r="K633" s="71"/>
      <c r="L633" s="76"/>
    </row>
    <row r="634" spans="1:12">
      <c r="A634" s="71" t="s">
        <v>1808</v>
      </c>
      <c r="B634" s="71" t="s">
        <v>4062</v>
      </c>
      <c r="C634" s="71" t="s">
        <v>1809</v>
      </c>
      <c r="D634" s="71" t="s">
        <v>1810</v>
      </c>
      <c r="E634" s="72">
        <v>5032000</v>
      </c>
      <c r="F634" s="73">
        <v>40247</v>
      </c>
      <c r="G634" s="74">
        <v>40262</v>
      </c>
      <c r="H634" s="75">
        <v>40263</v>
      </c>
      <c r="I634" s="71"/>
      <c r="J634" s="71"/>
      <c r="K634" s="71"/>
      <c r="L634" s="76"/>
    </row>
    <row r="635" spans="1:12">
      <c r="A635" s="71" t="s">
        <v>1811</v>
      </c>
      <c r="B635" s="71" t="s">
        <v>4186</v>
      </c>
      <c r="C635" s="71" t="s">
        <v>3384</v>
      </c>
      <c r="D635" s="71" t="s">
        <v>1812</v>
      </c>
      <c r="E635" s="72">
        <v>248003</v>
      </c>
      <c r="F635" s="73">
        <v>40255</v>
      </c>
      <c r="G635" s="74">
        <v>40255</v>
      </c>
      <c r="H635" s="75">
        <v>40261</v>
      </c>
      <c r="I635" s="71"/>
      <c r="J635" s="71"/>
      <c r="K635" s="71"/>
      <c r="L635" s="76"/>
    </row>
    <row r="636" spans="1:12">
      <c r="A636" s="71" t="s">
        <v>1813</v>
      </c>
      <c r="B636" s="71" t="s">
        <v>2897</v>
      </c>
      <c r="C636" s="71"/>
      <c r="D636" s="71" t="s">
        <v>1814</v>
      </c>
      <c r="E636" s="72">
        <v>110000</v>
      </c>
      <c r="F636" s="73">
        <v>40248</v>
      </c>
      <c r="G636" s="74"/>
      <c r="H636" s="71"/>
      <c r="I636" s="71"/>
      <c r="J636" s="71"/>
      <c r="K636" s="71"/>
      <c r="L636" s="76"/>
    </row>
    <row r="637" spans="1:12">
      <c r="A637" s="71" t="s">
        <v>1815</v>
      </c>
      <c r="B637" s="71" t="s">
        <v>4128</v>
      </c>
      <c r="C637" s="71"/>
      <c r="D637" s="71" t="s">
        <v>1816</v>
      </c>
      <c r="E637" s="72">
        <v>350000</v>
      </c>
      <c r="F637" s="73">
        <v>40263</v>
      </c>
      <c r="G637" s="74"/>
      <c r="H637" s="71"/>
      <c r="I637" s="71"/>
      <c r="J637" s="71"/>
      <c r="K637" s="71"/>
      <c r="L637" s="76"/>
    </row>
    <row r="638" spans="1:12">
      <c r="A638" s="71" t="s">
        <v>1817</v>
      </c>
      <c r="B638" s="71" t="s">
        <v>4186</v>
      </c>
      <c r="C638" s="71" t="s">
        <v>3392</v>
      </c>
      <c r="D638" s="71" t="s">
        <v>1818</v>
      </c>
      <c r="E638" s="72">
        <v>208250</v>
      </c>
      <c r="F638" s="73">
        <v>40234</v>
      </c>
      <c r="G638" s="74">
        <v>40260</v>
      </c>
      <c r="H638" s="75">
        <v>40263</v>
      </c>
      <c r="I638" s="71"/>
      <c r="J638" s="71"/>
      <c r="K638" s="71"/>
      <c r="L638" s="76"/>
    </row>
    <row r="639" spans="1:12">
      <c r="A639" s="71" t="s">
        <v>1819</v>
      </c>
      <c r="B639" s="71" t="s">
        <v>4128</v>
      </c>
      <c r="C639" s="71" t="s">
        <v>2989</v>
      </c>
      <c r="D639" s="71" t="s">
        <v>1820</v>
      </c>
      <c r="E639" s="72">
        <v>5868000</v>
      </c>
      <c r="F639" s="73">
        <v>40269</v>
      </c>
      <c r="G639" s="74">
        <v>40289</v>
      </c>
      <c r="H639" s="75">
        <v>40289</v>
      </c>
      <c r="I639" s="71"/>
      <c r="J639" s="71"/>
      <c r="K639" s="71"/>
      <c r="L639" s="76"/>
    </row>
    <row r="640" spans="1:12">
      <c r="A640" s="71" t="s">
        <v>1821</v>
      </c>
      <c r="B640" s="71" t="s">
        <v>4463</v>
      </c>
      <c r="C640" s="71"/>
      <c r="D640" s="71" t="s">
        <v>1822</v>
      </c>
      <c r="E640" s="72">
        <v>135000</v>
      </c>
      <c r="F640" s="73">
        <v>40253</v>
      </c>
      <c r="G640" s="74"/>
      <c r="H640" s="71"/>
      <c r="I640" s="71"/>
      <c r="J640" s="71"/>
      <c r="K640" s="71"/>
      <c r="L640" s="76"/>
    </row>
    <row r="641" spans="1:12">
      <c r="A641" s="71" t="s">
        <v>1823</v>
      </c>
      <c r="B641" s="71" t="s">
        <v>1611</v>
      </c>
      <c r="C641" s="71" t="s">
        <v>1824</v>
      </c>
      <c r="D641" s="71" t="s">
        <v>1825</v>
      </c>
      <c r="E641" s="72">
        <v>29397810</v>
      </c>
      <c r="F641" s="73">
        <v>40337</v>
      </c>
      <c r="G641" s="74"/>
      <c r="H641" s="71"/>
      <c r="I641" s="71"/>
      <c r="J641" s="71"/>
      <c r="K641" s="71"/>
      <c r="L641" s="76"/>
    </row>
    <row r="642" spans="1:12">
      <c r="A642" s="71" t="s">
        <v>1826</v>
      </c>
      <c r="B642" s="71" t="s">
        <v>4069</v>
      </c>
      <c r="C642" s="71"/>
      <c r="D642" s="71" t="s">
        <v>1827</v>
      </c>
      <c r="E642" s="72">
        <v>1000000</v>
      </c>
      <c r="F642" s="73">
        <v>40240</v>
      </c>
      <c r="G642" s="74"/>
      <c r="H642" s="71"/>
      <c r="I642" s="71"/>
      <c r="J642" s="71"/>
      <c r="K642" s="71"/>
      <c r="L642" s="76"/>
    </row>
    <row r="643" spans="1:12">
      <c r="A643" s="71" t="s">
        <v>1828</v>
      </c>
      <c r="B643" s="71" t="s">
        <v>3259</v>
      </c>
      <c r="C643" s="71" t="s">
        <v>1622</v>
      </c>
      <c r="D643" s="71" t="s">
        <v>1829</v>
      </c>
      <c r="E643" s="72">
        <v>326305</v>
      </c>
      <c r="F643" s="73">
        <v>40238</v>
      </c>
      <c r="G643" s="74">
        <v>40255</v>
      </c>
      <c r="H643" s="75">
        <v>40259</v>
      </c>
      <c r="I643" s="75">
        <v>40424</v>
      </c>
      <c r="J643" s="75">
        <v>40431</v>
      </c>
      <c r="K643" s="71" t="s">
        <v>4079</v>
      </c>
      <c r="L643" s="76"/>
    </row>
    <row r="644" spans="1:12">
      <c r="A644" s="71" t="s">
        <v>1830</v>
      </c>
      <c r="B644" s="71" t="s">
        <v>4128</v>
      </c>
      <c r="C644" s="71" t="s">
        <v>1831</v>
      </c>
      <c r="D644" s="71" t="s">
        <v>1832</v>
      </c>
      <c r="E644" s="72"/>
      <c r="F644" s="73">
        <v>40268</v>
      </c>
      <c r="G644" s="74"/>
      <c r="H644" s="71"/>
      <c r="I644" s="71"/>
      <c r="J644" s="71"/>
      <c r="K644" s="71"/>
      <c r="L644" s="76"/>
    </row>
    <row r="645" spans="1:12">
      <c r="A645" s="71" t="s">
        <v>1833</v>
      </c>
      <c r="B645" s="71" t="s">
        <v>4062</v>
      </c>
      <c r="C645" s="71" t="s">
        <v>1718</v>
      </c>
      <c r="D645" s="71" t="s">
        <v>1834</v>
      </c>
      <c r="E645" s="72">
        <v>444701</v>
      </c>
      <c r="F645" s="73">
        <v>40254</v>
      </c>
      <c r="G645" s="74">
        <v>40262</v>
      </c>
      <c r="H645" s="75">
        <v>40263</v>
      </c>
      <c r="I645" s="71"/>
      <c r="J645" s="71"/>
      <c r="K645" s="71"/>
      <c r="L645" s="76"/>
    </row>
    <row r="646" spans="1:12">
      <c r="A646" s="71" t="s">
        <v>1835</v>
      </c>
      <c r="B646" s="71" t="s">
        <v>4341</v>
      </c>
      <c r="C646" s="71" t="s">
        <v>1836</v>
      </c>
      <c r="D646" s="71" t="s">
        <v>1837</v>
      </c>
      <c r="E646" s="72"/>
      <c r="F646" s="73">
        <v>40227</v>
      </c>
      <c r="G646" s="74"/>
      <c r="H646" s="71"/>
      <c r="I646" s="71"/>
      <c r="J646" s="71"/>
      <c r="K646" s="71"/>
      <c r="L646" s="76"/>
    </row>
    <row r="647" spans="1:12">
      <c r="A647" s="71" t="s">
        <v>1838</v>
      </c>
      <c r="B647" s="71" t="s">
        <v>4341</v>
      </c>
      <c r="C647" s="71" t="s">
        <v>1839</v>
      </c>
      <c r="D647" s="71" t="s">
        <v>1840</v>
      </c>
      <c r="E647" s="72">
        <v>267730</v>
      </c>
      <c r="F647" s="73">
        <v>40255</v>
      </c>
      <c r="G647" s="74">
        <v>40281</v>
      </c>
      <c r="H647" s="75">
        <v>40282</v>
      </c>
      <c r="I647" s="75">
        <v>40400</v>
      </c>
      <c r="J647" s="75">
        <v>40416</v>
      </c>
      <c r="K647" s="71" t="s">
        <v>4079</v>
      </c>
      <c r="L647" s="76"/>
    </row>
    <row r="648" spans="1:12">
      <c r="A648" s="71" t="s">
        <v>1841</v>
      </c>
      <c r="B648" s="71" t="s">
        <v>4133</v>
      </c>
      <c r="C648" s="71" t="s">
        <v>1842</v>
      </c>
      <c r="D648" s="71" t="s">
        <v>1843</v>
      </c>
      <c r="E648" s="72">
        <v>1055691</v>
      </c>
      <c r="F648" s="73">
        <v>40280</v>
      </c>
      <c r="G648" s="74">
        <v>40269</v>
      </c>
      <c r="H648" s="75">
        <v>40269</v>
      </c>
      <c r="I648" s="71"/>
      <c r="J648" s="71"/>
      <c r="K648" s="71"/>
      <c r="L648" s="76"/>
    </row>
    <row r="649" spans="1:12">
      <c r="A649" s="71" t="s">
        <v>1844</v>
      </c>
      <c r="B649" s="71" t="s">
        <v>4056</v>
      </c>
      <c r="C649" s="71"/>
      <c r="D649" s="71" t="s">
        <v>1845</v>
      </c>
      <c r="E649" s="72">
        <v>9200000</v>
      </c>
      <c r="F649" s="73">
        <v>40497</v>
      </c>
      <c r="G649" s="74"/>
      <c r="H649" s="71"/>
      <c r="I649" s="71"/>
      <c r="J649" s="71"/>
      <c r="K649" s="71"/>
      <c r="L649" s="76"/>
    </row>
    <row r="650" spans="1:12">
      <c r="A650" s="71" t="s">
        <v>1846</v>
      </c>
      <c r="B650" s="71" t="s">
        <v>4137</v>
      </c>
      <c r="C650" s="71" t="s">
        <v>2980</v>
      </c>
      <c r="D650" s="71" t="s">
        <v>1847</v>
      </c>
      <c r="E650" s="72">
        <v>711672</v>
      </c>
      <c r="F650" s="73">
        <v>40267</v>
      </c>
      <c r="G650" s="74">
        <v>40291</v>
      </c>
      <c r="H650" s="75">
        <v>40294</v>
      </c>
      <c r="I650" s="75">
        <v>40336</v>
      </c>
      <c r="J650" s="75">
        <v>40336</v>
      </c>
      <c r="K650" s="71" t="s">
        <v>4079</v>
      </c>
      <c r="L650" s="76"/>
    </row>
    <row r="651" spans="1:12">
      <c r="A651" s="71" t="s">
        <v>1848</v>
      </c>
      <c r="B651" s="71" t="s">
        <v>3259</v>
      </c>
      <c r="C651" s="71" t="s">
        <v>1849</v>
      </c>
      <c r="D651" s="71" t="s">
        <v>1850</v>
      </c>
      <c r="E651" s="72">
        <v>3576821.6</v>
      </c>
      <c r="F651" s="73">
        <v>40238</v>
      </c>
      <c r="G651" s="74">
        <v>40344</v>
      </c>
      <c r="H651" s="75">
        <v>40350</v>
      </c>
      <c r="I651" s="71"/>
      <c r="J651" s="71"/>
      <c r="K651" s="71"/>
      <c r="L651" s="76"/>
    </row>
    <row r="652" spans="1:12">
      <c r="A652" s="71" t="s">
        <v>1851</v>
      </c>
      <c r="B652" s="71" t="s">
        <v>3259</v>
      </c>
      <c r="C652" s="71" t="s">
        <v>1852</v>
      </c>
      <c r="D652" s="71" t="s">
        <v>1853</v>
      </c>
      <c r="E652" s="72">
        <v>159785.01</v>
      </c>
      <c r="F652" s="73">
        <v>40238</v>
      </c>
      <c r="G652" s="74">
        <v>40288</v>
      </c>
      <c r="H652" s="75">
        <v>40290</v>
      </c>
      <c r="I652" s="75">
        <v>40387</v>
      </c>
      <c r="J652" s="75">
        <v>40393</v>
      </c>
      <c r="K652" s="71" t="s">
        <v>4079</v>
      </c>
      <c r="L652" s="76"/>
    </row>
    <row r="653" spans="1:12">
      <c r="A653" s="71" t="s">
        <v>1854</v>
      </c>
      <c r="B653" s="71" t="s">
        <v>3259</v>
      </c>
      <c r="C653" s="71" t="s">
        <v>3353</v>
      </c>
      <c r="D653" s="71" t="s">
        <v>1855</v>
      </c>
      <c r="E653" s="72">
        <v>1020954.83</v>
      </c>
      <c r="F653" s="73">
        <v>40238</v>
      </c>
      <c r="G653" s="74"/>
      <c r="H653" s="71"/>
      <c r="I653" s="71"/>
      <c r="J653" s="71"/>
      <c r="K653" s="71"/>
      <c r="L653" s="76"/>
    </row>
    <row r="654" spans="1:12">
      <c r="A654" s="71" t="s">
        <v>1856</v>
      </c>
      <c r="B654" s="71" t="s">
        <v>3259</v>
      </c>
      <c r="C654" s="71"/>
      <c r="D654" s="71" t="s">
        <v>1857</v>
      </c>
      <c r="E654" s="72">
        <v>1020000</v>
      </c>
      <c r="F654" s="73">
        <v>40238</v>
      </c>
      <c r="G654" s="74"/>
      <c r="H654" s="71"/>
      <c r="I654" s="71"/>
      <c r="J654" s="71"/>
      <c r="K654" s="71"/>
      <c r="L654" s="76"/>
    </row>
    <row r="655" spans="1:12">
      <c r="A655" s="71" t="s">
        <v>1858</v>
      </c>
      <c r="B655" s="71" t="s">
        <v>4463</v>
      </c>
      <c r="C655" s="71" t="s">
        <v>1859</v>
      </c>
      <c r="D655" s="71" t="s">
        <v>1860</v>
      </c>
      <c r="E655" s="72">
        <v>9000000</v>
      </c>
      <c r="F655" s="73">
        <v>40298</v>
      </c>
      <c r="G655" s="74">
        <v>40372</v>
      </c>
      <c r="H655" s="75">
        <v>40375</v>
      </c>
      <c r="I655" s="71"/>
      <c r="J655" s="71"/>
      <c r="K655" s="71"/>
      <c r="L655" s="76"/>
    </row>
    <row r="656" spans="1:12">
      <c r="A656" s="71" t="s">
        <v>1861</v>
      </c>
      <c r="B656" s="71" t="s">
        <v>4186</v>
      </c>
      <c r="C656" s="71" t="s">
        <v>1862</v>
      </c>
      <c r="D656" s="71" t="s">
        <v>1863</v>
      </c>
      <c r="E656" s="72">
        <v>176542</v>
      </c>
      <c r="F656" s="73">
        <v>40260</v>
      </c>
      <c r="G656" s="74">
        <v>40266</v>
      </c>
      <c r="H656" s="75">
        <v>40266</v>
      </c>
      <c r="I656" s="75">
        <v>40357</v>
      </c>
      <c r="J656" s="75">
        <v>40366</v>
      </c>
      <c r="K656" s="71" t="s">
        <v>4079</v>
      </c>
      <c r="L656" s="76"/>
    </row>
    <row r="657" spans="1:12">
      <c r="A657" s="71" t="s">
        <v>1864</v>
      </c>
      <c r="B657" s="71" t="s">
        <v>4056</v>
      </c>
      <c r="C657" s="71"/>
      <c r="D657" s="71" t="s">
        <v>1865</v>
      </c>
      <c r="E657" s="72">
        <v>12600000</v>
      </c>
      <c r="F657" s="73">
        <v>40191</v>
      </c>
      <c r="G657" s="74"/>
      <c r="H657" s="71"/>
      <c r="I657" s="71"/>
      <c r="J657" s="71"/>
      <c r="K657" s="71"/>
      <c r="L657" s="76"/>
    </row>
    <row r="658" spans="1:12">
      <c r="A658" s="71" t="s">
        <v>1866</v>
      </c>
      <c r="B658" s="71" t="s">
        <v>4186</v>
      </c>
      <c r="C658" s="71" t="s">
        <v>3236</v>
      </c>
      <c r="D658" s="71" t="s">
        <v>1867</v>
      </c>
      <c r="E658" s="72">
        <v>410000</v>
      </c>
      <c r="F658" s="73">
        <v>40255</v>
      </c>
      <c r="G658" s="74">
        <v>40350</v>
      </c>
      <c r="H658" s="75">
        <v>40359</v>
      </c>
      <c r="I658" s="71"/>
      <c r="J658" s="71"/>
      <c r="K658" s="71"/>
      <c r="L658" s="76"/>
    </row>
    <row r="659" spans="1:12">
      <c r="A659" s="71" t="s">
        <v>1868</v>
      </c>
      <c r="B659" s="71" t="s">
        <v>4133</v>
      </c>
      <c r="C659" s="71" t="s">
        <v>1869</v>
      </c>
      <c r="D659" s="71" t="s">
        <v>1870</v>
      </c>
      <c r="E659" s="72">
        <v>5587800</v>
      </c>
      <c r="F659" s="73">
        <v>40308</v>
      </c>
      <c r="G659" s="74">
        <v>40345</v>
      </c>
      <c r="H659" s="75">
        <v>40437</v>
      </c>
      <c r="I659" s="71"/>
      <c r="J659" s="71"/>
      <c r="K659" s="71"/>
      <c r="L659" s="76"/>
    </row>
    <row r="660" spans="1:12" ht="22.5">
      <c r="A660" s="71" t="s">
        <v>1871</v>
      </c>
      <c r="B660" s="71" t="s">
        <v>4128</v>
      </c>
      <c r="C660" s="71"/>
      <c r="D660" s="71" t="s">
        <v>1872</v>
      </c>
      <c r="E660" s="72">
        <v>1200000</v>
      </c>
      <c r="F660" s="73">
        <v>40324</v>
      </c>
      <c r="G660" s="74"/>
      <c r="H660" s="71"/>
      <c r="I660" s="71"/>
      <c r="J660" s="71"/>
      <c r="K660" s="71"/>
      <c r="L660" s="76"/>
    </row>
    <row r="661" spans="1:12">
      <c r="A661" s="71" t="s">
        <v>1873</v>
      </c>
      <c r="B661" s="71" t="s">
        <v>3435</v>
      </c>
      <c r="C661" s="71" t="s">
        <v>3384</v>
      </c>
      <c r="D661" s="71" t="s">
        <v>1874</v>
      </c>
      <c r="E661" s="72">
        <v>97800</v>
      </c>
      <c r="F661" s="73">
        <v>40262</v>
      </c>
      <c r="G661" s="74">
        <v>40288</v>
      </c>
      <c r="H661" s="75">
        <v>40290</v>
      </c>
      <c r="I661" s="75">
        <v>40342</v>
      </c>
      <c r="J661" s="75">
        <v>40372</v>
      </c>
      <c r="K661" s="71" t="s">
        <v>4079</v>
      </c>
      <c r="L661" s="76"/>
    </row>
    <row r="662" spans="1:12">
      <c r="A662" s="71" t="s">
        <v>1875</v>
      </c>
      <c r="B662" s="71" t="s">
        <v>3435</v>
      </c>
      <c r="C662" s="71" t="s">
        <v>1876</v>
      </c>
      <c r="D662" s="71" t="s">
        <v>1877</v>
      </c>
      <c r="E662" s="72">
        <v>128627</v>
      </c>
      <c r="F662" s="73">
        <v>40262</v>
      </c>
      <c r="G662" s="74">
        <v>40288</v>
      </c>
      <c r="H662" s="75">
        <v>40290</v>
      </c>
      <c r="I662" s="71"/>
      <c r="J662" s="71"/>
      <c r="K662" s="71"/>
      <c r="L662" s="76"/>
    </row>
    <row r="663" spans="1:12">
      <c r="A663" s="71" t="s">
        <v>1878</v>
      </c>
      <c r="B663" s="71" t="s">
        <v>4062</v>
      </c>
      <c r="C663" s="71" t="s">
        <v>3353</v>
      </c>
      <c r="D663" s="71" t="s">
        <v>1879</v>
      </c>
      <c r="E663" s="72">
        <v>138000</v>
      </c>
      <c r="F663" s="73">
        <v>40254</v>
      </c>
      <c r="G663" s="74">
        <v>40262</v>
      </c>
      <c r="H663" s="75">
        <v>40263</v>
      </c>
      <c r="I663" s="71"/>
      <c r="J663" s="71"/>
      <c r="K663" s="71"/>
      <c r="L663" s="76"/>
    </row>
    <row r="664" spans="1:12" ht="22.5">
      <c r="A664" s="71" t="s">
        <v>1880</v>
      </c>
      <c r="B664" s="71" t="s">
        <v>3259</v>
      </c>
      <c r="C664" s="71" t="s">
        <v>1881</v>
      </c>
      <c r="D664" s="71" t="s">
        <v>1882</v>
      </c>
      <c r="E664" s="72">
        <v>229000</v>
      </c>
      <c r="F664" s="73">
        <v>40238</v>
      </c>
      <c r="G664" s="74">
        <v>40289</v>
      </c>
      <c r="H664" s="75">
        <v>40296</v>
      </c>
      <c r="I664" s="71"/>
      <c r="J664" s="71"/>
      <c r="K664" s="71" t="s">
        <v>1883</v>
      </c>
      <c r="L664" s="76"/>
    </row>
    <row r="665" spans="1:12" ht="22.5">
      <c r="A665" s="71" t="s">
        <v>1884</v>
      </c>
      <c r="B665" s="71" t="s">
        <v>3259</v>
      </c>
      <c r="C665" s="71" t="s">
        <v>1758</v>
      </c>
      <c r="D665" s="71" t="s">
        <v>1885</v>
      </c>
      <c r="E665" s="72">
        <v>89000</v>
      </c>
      <c r="F665" s="73">
        <v>40238</v>
      </c>
      <c r="G665" s="74"/>
      <c r="H665" s="71"/>
      <c r="I665" s="71"/>
      <c r="J665" s="71"/>
      <c r="K665" s="71"/>
      <c r="L665" s="76"/>
    </row>
    <row r="666" spans="1:12" ht="22.5">
      <c r="A666" s="71" t="s">
        <v>1886</v>
      </c>
      <c r="B666" s="71" t="s">
        <v>3259</v>
      </c>
      <c r="C666" s="71"/>
      <c r="D666" s="71" t="s">
        <v>1887</v>
      </c>
      <c r="E666" s="72">
        <v>420000</v>
      </c>
      <c r="F666" s="73">
        <v>40238</v>
      </c>
      <c r="G666" s="74"/>
      <c r="H666" s="71"/>
      <c r="I666" s="71"/>
      <c r="J666" s="71"/>
      <c r="K666" s="71" t="s">
        <v>1883</v>
      </c>
      <c r="L666" s="76"/>
    </row>
    <row r="667" spans="1:12">
      <c r="A667" s="71" t="s">
        <v>1888</v>
      </c>
      <c r="B667" s="71" t="s">
        <v>3259</v>
      </c>
      <c r="C667" s="71" t="s">
        <v>1889</v>
      </c>
      <c r="D667" s="71" t="s">
        <v>1890</v>
      </c>
      <c r="E667" s="72">
        <v>954530</v>
      </c>
      <c r="F667" s="73">
        <v>40210</v>
      </c>
      <c r="G667" s="74">
        <v>40234</v>
      </c>
      <c r="H667" s="75">
        <v>40238</v>
      </c>
      <c r="I667" s="71"/>
      <c r="J667" s="71"/>
      <c r="K667" s="71"/>
      <c r="L667" s="76"/>
    </row>
    <row r="668" spans="1:12">
      <c r="A668" s="71" t="s">
        <v>1891</v>
      </c>
      <c r="B668" s="71" t="s">
        <v>4128</v>
      </c>
      <c r="C668" s="71"/>
      <c r="D668" s="71" t="s">
        <v>1892</v>
      </c>
      <c r="E668" s="72">
        <v>1300000</v>
      </c>
      <c r="F668" s="73" t="s">
        <v>1893</v>
      </c>
      <c r="G668" s="74"/>
      <c r="H668" s="71"/>
      <c r="I668" s="71"/>
      <c r="J668" s="71"/>
      <c r="K668" s="71"/>
      <c r="L668" s="76" t="s">
        <v>2877</v>
      </c>
    </row>
    <row r="669" spans="1:12" ht="22.5">
      <c r="A669" s="71" t="s">
        <v>1894</v>
      </c>
      <c r="B669" s="71" t="s">
        <v>4128</v>
      </c>
      <c r="C669" s="71" t="s">
        <v>1802</v>
      </c>
      <c r="D669" s="71" t="s">
        <v>1895</v>
      </c>
      <c r="E669" s="72">
        <v>4657593.57</v>
      </c>
      <c r="F669" s="73">
        <v>40303</v>
      </c>
      <c r="G669" s="74">
        <v>40289</v>
      </c>
      <c r="H669" s="75">
        <v>40295</v>
      </c>
      <c r="I669" s="71"/>
      <c r="J669" s="71"/>
      <c r="K669" s="71"/>
      <c r="L669" s="76"/>
    </row>
    <row r="670" spans="1:12">
      <c r="A670" s="71" t="s">
        <v>1896</v>
      </c>
      <c r="B670" s="71" t="s">
        <v>4133</v>
      </c>
      <c r="C670" s="71"/>
      <c r="D670" s="71" t="s">
        <v>1897</v>
      </c>
      <c r="E670" s="72">
        <v>450000</v>
      </c>
      <c r="F670" s="73">
        <v>40299</v>
      </c>
      <c r="G670" s="74"/>
      <c r="H670" s="71"/>
      <c r="I670" s="71"/>
      <c r="J670" s="71"/>
      <c r="K670" s="71"/>
      <c r="L670" s="76"/>
    </row>
    <row r="671" spans="1:12">
      <c r="A671" s="71" t="s">
        <v>1898</v>
      </c>
      <c r="B671" s="71" t="s">
        <v>4463</v>
      </c>
      <c r="C671" s="71" t="s">
        <v>1899</v>
      </c>
      <c r="D671" s="71" t="s">
        <v>1900</v>
      </c>
      <c r="E671" s="72">
        <v>161392</v>
      </c>
      <c r="F671" s="73">
        <v>40254</v>
      </c>
      <c r="G671" s="74">
        <v>40281</v>
      </c>
      <c r="H671" s="75">
        <v>40291</v>
      </c>
      <c r="I671" s="71"/>
      <c r="J671" s="71"/>
      <c r="K671" s="71"/>
      <c r="L671" s="76"/>
    </row>
    <row r="672" spans="1:12">
      <c r="A672" s="71" t="s">
        <v>1901</v>
      </c>
      <c r="B672" s="71" t="s">
        <v>4137</v>
      </c>
      <c r="C672" s="71" t="s">
        <v>1902</v>
      </c>
      <c r="D672" s="71" t="s">
        <v>1903</v>
      </c>
      <c r="E672" s="72">
        <v>325385</v>
      </c>
      <c r="F672" s="73">
        <v>40269</v>
      </c>
      <c r="G672" s="74">
        <v>40316</v>
      </c>
      <c r="H672" s="75">
        <v>40317</v>
      </c>
      <c r="I672" s="71"/>
      <c r="J672" s="71"/>
      <c r="K672" s="71"/>
      <c r="L672" s="76"/>
    </row>
    <row r="673" spans="1:12">
      <c r="A673" s="94">
        <v>40238</v>
      </c>
      <c r="B673" s="71"/>
      <c r="C673" s="71"/>
      <c r="D673" s="71"/>
      <c r="E673" s="72"/>
      <c r="F673" s="73"/>
      <c r="G673" s="74"/>
      <c r="H673" s="71"/>
      <c r="I673" s="71"/>
      <c r="J673" s="71"/>
      <c r="K673" s="71"/>
      <c r="L673" s="76"/>
    </row>
    <row r="674" spans="1:12">
      <c r="A674" s="71" t="s">
        <v>1904</v>
      </c>
      <c r="B674" s="71" t="s">
        <v>4133</v>
      </c>
      <c r="C674" s="71" t="s">
        <v>2561</v>
      </c>
      <c r="D674" s="71" t="s">
        <v>1905</v>
      </c>
      <c r="E674" s="72"/>
      <c r="F674" s="73">
        <v>40331</v>
      </c>
      <c r="G674" s="74"/>
      <c r="H674" s="71"/>
      <c r="I674" s="71"/>
      <c r="J674" s="71"/>
      <c r="K674" s="71"/>
      <c r="L674" s="76"/>
    </row>
    <row r="675" spans="1:12">
      <c r="A675" s="71" t="s">
        <v>1906</v>
      </c>
      <c r="B675" s="71" t="s">
        <v>4062</v>
      </c>
      <c r="C675" s="71" t="s">
        <v>1809</v>
      </c>
      <c r="D675" s="71" t="s">
        <v>1907</v>
      </c>
      <c r="E675" s="72">
        <v>2200000</v>
      </c>
      <c r="F675" s="73">
        <v>40291</v>
      </c>
      <c r="G675" s="74">
        <v>40311</v>
      </c>
      <c r="H675" s="75">
        <v>40312</v>
      </c>
      <c r="I675" s="71"/>
      <c r="J675" s="71"/>
      <c r="K675" s="71"/>
      <c r="L675" s="76"/>
    </row>
    <row r="676" spans="1:12">
      <c r="A676" s="71" t="s">
        <v>1908</v>
      </c>
      <c r="B676" s="71" t="s">
        <v>4062</v>
      </c>
      <c r="C676" s="71" t="s">
        <v>3324</v>
      </c>
      <c r="D676" s="71" t="s">
        <v>1909</v>
      </c>
      <c r="E676" s="72">
        <v>2178000</v>
      </c>
      <c r="F676" s="73">
        <v>40291</v>
      </c>
      <c r="G676" s="74">
        <v>40311</v>
      </c>
      <c r="H676" s="75">
        <v>40312</v>
      </c>
      <c r="I676" s="71"/>
      <c r="J676" s="71"/>
      <c r="K676" s="71"/>
      <c r="L676" s="76"/>
    </row>
    <row r="677" spans="1:12">
      <c r="A677" s="71" t="s">
        <v>1910</v>
      </c>
      <c r="B677" s="71" t="s">
        <v>4062</v>
      </c>
      <c r="C677" s="71" t="s">
        <v>3324</v>
      </c>
      <c r="D677" s="71" t="s">
        <v>1911</v>
      </c>
      <c r="E677" s="72">
        <v>2270110</v>
      </c>
      <c r="F677" s="73">
        <v>40291</v>
      </c>
      <c r="G677" s="74">
        <v>40311</v>
      </c>
      <c r="H677" s="75">
        <v>40312</v>
      </c>
      <c r="I677" s="71"/>
      <c r="J677" s="71"/>
      <c r="K677" s="71"/>
      <c r="L677" s="76"/>
    </row>
    <row r="678" spans="1:12">
      <c r="A678" s="71" t="s">
        <v>1912</v>
      </c>
      <c r="B678" s="71" t="s">
        <v>4056</v>
      </c>
      <c r="C678" s="71"/>
      <c r="D678" s="71" t="s">
        <v>1913</v>
      </c>
      <c r="E678" s="72">
        <v>1000000</v>
      </c>
      <c r="F678" s="73">
        <v>40360</v>
      </c>
      <c r="G678" s="74"/>
      <c r="H678" s="71"/>
      <c r="I678" s="71"/>
      <c r="J678" s="71"/>
      <c r="K678" s="71"/>
      <c r="L678" s="76"/>
    </row>
    <row r="679" spans="1:12">
      <c r="A679" s="71" t="s">
        <v>1914</v>
      </c>
      <c r="B679" s="71" t="s">
        <v>4128</v>
      </c>
      <c r="C679" s="71" t="s">
        <v>2760</v>
      </c>
      <c r="D679" s="71" t="s">
        <v>1915</v>
      </c>
      <c r="E679" s="72">
        <v>4289625.0999999996</v>
      </c>
      <c r="F679" s="73">
        <v>40331</v>
      </c>
      <c r="G679" s="74">
        <v>40408</v>
      </c>
      <c r="H679" s="75">
        <v>40410</v>
      </c>
      <c r="I679" s="71"/>
      <c r="J679" s="71"/>
      <c r="K679" s="71"/>
      <c r="L679" s="76"/>
    </row>
    <row r="680" spans="1:12">
      <c r="A680" s="71" t="s">
        <v>1916</v>
      </c>
      <c r="B680" s="71" t="s">
        <v>4128</v>
      </c>
      <c r="C680" s="71" t="s">
        <v>2875</v>
      </c>
      <c r="D680" s="71" t="s">
        <v>1917</v>
      </c>
      <c r="E680" s="72">
        <v>449353</v>
      </c>
      <c r="F680" s="73">
        <v>40331</v>
      </c>
      <c r="G680" s="74">
        <v>40323</v>
      </c>
      <c r="H680" s="75">
        <v>40324</v>
      </c>
      <c r="I680" s="71"/>
      <c r="J680" s="71"/>
      <c r="K680" s="71"/>
      <c r="L680" s="76"/>
    </row>
    <row r="681" spans="1:12">
      <c r="A681" s="71" t="s">
        <v>1918</v>
      </c>
      <c r="B681" s="71" t="s">
        <v>4066</v>
      </c>
      <c r="C681" s="71"/>
      <c r="D681" s="71" t="s">
        <v>1919</v>
      </c>
      <c r="E681" s="72">
        <v>215000</v>
      </c>
      <c r="F681" s="73">
        <v>40331</v>
      </c>
      <c r="G681" s="74"/>
      <c r="H681" s="71"/>
      <c r="I681" s="71"/>
      <c r="J681" s="71"/>
      <c r="K681" s="71"/>
      <c r="L681" s="76"/>
    </row>
    <row r="682" spans="1:12">
      <c r="A682" s="71" t="s">
        <v>1920</v>
      </c>
      <c r="B682" s="71" t="s">
        <v>4137</v>
      </c>
      <c r="C682" s="71" t="s">
        <v>3236</v>
      </c>
      <c r="D682" s="71" t="s">
        <v>1921</v>
      </c>
      <c r="E682" s="72">
        <v>992718</v>
      </c>
      <c r="F682" s="73">
        <v>40269</v>
      </c>
      <c r="G682" s="74">
        <v>40325</v>
      </c>
      <c r="H682" s="75">
        <v>40331</v>
      </c>
      <c r="I682" s="71"/>
      <c r="J682" s="71"/>
      <c r="K682" s="71"/>
      <c r="L682" s="76"/>
    </row>
    <row r="683" spans="1:12">
      <c r="A683" s="71" t="s">
        <v>1922</v>
      </c>
      <c r="B683" s="71" t="s">
        <v>4133</v>
      </c>
      <c r="C683" s="71"/>
      <c r="D683" s="71" t="s">
        <v>1923</v>
      </c>
      <c r="E683" s="72">
        <v>5523000</v>
      </c>
      <c r="F683" s="73">
        <v>40332</v>
      </c>
      <c r="G683" s="74"/>
      <c r="H683" s="71"/>
      <c r="I683" s="71"/>
      <c r="J683" s="71"/>
      <c r="K683" s="71"/>
      <c r="L683" s="76"/>
    </row>
    <row r="684" spans="1:12">
      <c r="A684" s="71" t="s">
        <v>1924</v>
      </c>
      <c r="B684" s="71" t="s">
        <v>4128</v>
      </c>
      <c r="C684" s="71" t="s">
        <v>1925</v>
      </c>
      <c r="D684" s="71" t="s">
        <v>1926</v>
      </c>
      <c r="E684" s="72">
        <v>7132000</v>
      </c>
      <c r="F684" s="73">
        <v>40317</v>
      </c>
      <c r="G684" s="74">
        <v>40366</v>
      </c>
      <c r="H684" s="75">
        <v>40367</v>
      </c>
      <c r="I684" s="71"/>
      <c r="J684" s="71"/>
      <c r="K684" s="71"/>
      <c r="L684" s="76"/>
    </row>
    <row r="685" spans="1:12">
      <c r="A685" s="71" t="s">
        <v>1927</v>
      </c>
      <c r="B685" s="71" t="s">
        <v>4069</v>
      </c>
      <c r="C685" s="71" t="s">
        <v>1928</v>
      </c>
      <c r="D685" s="71" t="s">
        <v>1929</v>
      </c>
      <c r="E685" s="72">
        <v>164900</v>
      </c>
      <c r="F685" s="73">
        <v>40302</v>
      </c>
      <c r="G685" s="74">
        <v>40344</v>
      </c>
      <c r="H685" s="75">
        <v>40301</v>
      </c>
      <c r="I685" s="71"/>
      <c r="J685" s="71"/>
      <c r="K685" s="71"/>
      <c r="L685" s="76"/>
    </row>
    <row r="686" spans="1:12">
      <c r="A686" s="71" t="s">
        <v>1930</v>
      </c>
      <c r="B686" s="71" t="s">
        <v>4069</v>
      </c>
      <c r="C686" s="71" t="s">
        <v>1931</v>
      </c>
      <c r="D686" s="71" t="s">
        <v>1932</v>
      </c>
      <c r="E686" s="72">
        <v>178300</v>
      </c>
      <c r="F686" s="73">
        <v>40302</v>
      </c>
      <c r="G686" s="74">
        <v>40344</v>
      </c>
      <c r="H686" s="75">
        <v>40301</v>
      </c>
      <c r="I686" s="71"/>
      <c r="J686" s="71"/>
      <c r="K686" s="71"/>
      <c r="L686" s="76"/>
    </row>
    <row r="687" spans="1:12">
      <c r="A687" s="71" t="s">
        <v>1933</v>
      </c>
      <c r="B687" s="71" t="s">
        <v>4069</v>
      </c>
      <c r="C687" s="71" t="s">
        <v>1740</v>
      </c>
      <c r="D687" s="71" t="s">
        <v>1934</v>
      </c>
      <c r="E687" s="72">
        <v>136335</v>
      </c>
      <c r="F687" s="73">
        <v>40302</v>
      </c>
      <c r="G687" s="74">
        <v>40344</v>
      </c>
      <c r="H687" s="75">
        <v>40301</v>
      </c>
      <c r="I687" s="71"/>
      <c r="J687" s="71"/>
      <c r="K687" s="71"/>
      <c r="L687" s="76"/>
    </row>
    <row r="688" spans="1:12">
      <c r="A688" s="71" t="s">
        <v>1935</v>
      </c>
      <c r="B688" s="71" t="s">
        <v>1936</v>
      </c>
      <c r="C688" s="71"/>
      <c r="D688" s="71" t="s">
        <v>1937</v>
      </c>
      <c r="E688" s="72">
        <v>100000</v>
      </c>
      <c r="F688" s="73">
        <v>40220</v>
      </c>
      <c r="G688" s="74">
        <v>40239</v>
      </c>
      <c r="H688" s="75">
        <v>40247</v>
      </c>
      <c r="I688" s="71"/>
      <c r="J688" s="71"/>
      <c r="K688" s="71"/>
      <c r="L688" s="76"/>
    </row>
    <row r="689" spans="1:12">
      <c r="A689" s="71" t="s">
        <v>1938</v>
      </c>
      <c r="B689" s="71" t="s">
        <v>4069</v>
      </c>
      <c r="C689" s="71"/>
      <c r="D689" s="71" t="s">
        <v>1939</v>
      </c>
      <c r="E689" s="72">
        <v>2470286</v>
      </c>
      <c r="F689" s="73">
        <v>40299</v>
      </c>
      <c r="G689" s="74"/>
      <c r="H689" s="71"/>
      <c r="I689" s="71"/>
      <c r="J689" s="71"/>
      <c r="K689" s="71"/>
      <c r="L689" s="76"/>
    </row>
    <row r="690" spans="1:12">
      <c r="A690" s="71" t="s">
        <v>1940</v>
      </c>
      <c r="B690" s="71" t="s">
        <v>4069</v>
      </c>
      <c r="C690" s="71" t="s">
        <v>2875</v>
      </c>
      <c r="D690" s="71" t="s">
        <v>1941</v>
      </c>
      <c r="E690" s="72">
        <v>898850</v>
      </c>
      <c r="F690" s="73">
        <v>40299</v>
      </c>
      <c r="G690" s="74">
        <v>40344</v>
      </c>
      <c r="H690" s="75">
        <v>40301</v>
      </c>
      <c r="I690" s="71"/>
      <c r="J690" s="71"/>
      <c r="K690" s="71"/>
      <c r="L690" s="76"/>
    </row>
    <row r="691" spans="1:12">
      <c r="A691" s="71" t="s">
        <v>1942</v>
      </c>
      <c r="B691" s="71" t="s">
        <v>4069</v>
      </c>
      <c r="C691" s="71" t="s">
        <v>2875</v>
      </c>
      <c r="D691" s="71" t="s">
        <v>1943</v>
      </c>
      <c r="E691" s="72">
        <v>592000</v>
      </c>
      <c r="F691" s="73">
        <v>40299</v>
      </c>
      <c r="G691" s="74">
        <v>40344</v>
      </c>
      <c r="H691" s="75">
        <v>40301</v>
      </c>
      <c r="I691" s="71"/>
      <c r="J691" s="71"/>
      <c r="K691" s="71"/>
      <c r="L691" s="76"/>
    </row>
    <row r="692" spans="1:12">
      <c r="A692" s="71" t="s">
        <v>1944</v>
      </c>
      <c r="B692" s="71" t="s">
        <v>4066</v>
      </c>
      <c r="C692" s="71"/>
      <c r="D692" s="71" t="s">
        <v>1945</v>
      </c>
      <c r="E692" s="72">
        <v>316950</v>
      </c>
      <c r="F692" s="73">
        <v>40330</v>
      </c>
      <c r="G692" s="74"/>
      <c r="H692" s="71"/>
      <c r="I692" s="71"/>
      <c r="J692" s="71"/>
      <c r="K692" s="71"/>
      <c r="L692" s="76"/>
    </row>
    <row r="693" spans="1:12">
      <c r="A693" s="71" t="s">
        <v>1946</v>
      </c>
      <c r="B693" s="71" t="s">
        <v>4066</v>
      </c>
      <c r="C693" s="71" t="s">
        <v>1947</v>
      </c>
      <c r="D693" s="71" t="s">
        <v>1948</v>
      </c>
      <c r="E693" s="72">
        <v>2342938</v>
      </c>
      <c r="F693" s="73">
        <v>40330</v>
      </c>
      <c r="G693" s="74">
        <v>40330</v>
      </c>
      <c r="H693" s="75">
        <v>40332</v>
      </c>
      <c r="I693" s="71"/>
      <c r="J693" s="71"/>
      <c r="K693" s="71"/>
      <c r="L693" s="76"/>
    </row>
    <row r="694" spans="1:12">
      <c r="A694" s="71" t="s">
        <v>1949</v>
      </c>
      <c r="B694" s="71" t="s">
        <v>4186</v>
      </c>
      <c r="C694" s="71" t="s">
        <v>4138</v>
      </c>
      <c r="D694" s="71" t="s">
        <v>1950</v>
      </c>
      <c r="E694" s="72">
        <v>537446</v>
      </c>
      <c r="F694" s="73">
        <v>40312</v>
      </c>
      <c r="G694" s="74">
        <v>40296</v>
      </c>
      <c r="H694" s="75">
        <v>40304</v>
      </c>
      <c r="I694" s="71"/>
      <c r="J694" s="71"/>
      <c r="K694" s="71"/>
      <c r="L694" s="76"/>
    </row>
    <row r="695" spans="1:12">
      <c r="A695" s="71" t="s">
        <v>1951</v>
      </c>
      <c r="B695" s="71" t="s">
        <v>4128</v>
      </c>
      <c r="C695" s="71" t="s">
        <v>1952</v>
      </c>
      <c r="D695" s="71" t="s">
        <v>1953</v>
      </c>
      <c r="E695" s="72">
        <v>2848474.19</v>
      </c>
      <c r="F695" s="73">
        <v>40317</v>
      </c>
      <c r="G695" s="74">
        <v>40289</v>
      </c>
      <c r="H695" s="75">
        <v>40289</v>
      </c>
      <c r="I695" s="71"/>
      <c r="J695" s="71"/>
      <c r="K695" s="71"/>
      <c r="L695" s="76"/>
    </row>
    <row r="696" spans="1:12">
      <c r="A696" s="71" t="s">
        <v>1954</v>
      </c>
      <c r="B696" s="71" t="s">
        <v>4137</v>
      </c>
      <c r="C696" s="71" t="s">
        <v>1955</v>
      </c>
      <c r="D696" s="71" t="s">
        <v>1956</v>
      </c>
      <c r="E696" s="72">
        <v>230000</v>
      </c>
      <c r="F696" s="73">
        <v>40260</v>
      </c>
      <c r="G696" s="74">
        <v>40259</v>
      </c>
      <c r="H696" s="75">
        <v>40393</v>
      </c>
      <c r="I696" s="71"/>
      <c r="J696" s="71"/>
      <c r="K696" s="71"/>
      <c r="L696" s="76"/>
    </row>
    <row r="697" spans="1:12" ht="33.75">
      <c r="A697" s="71" t="s">
        <v>1957</v>
      </c>
      <c r="B697" s="71" t="s">
        <v>4147</v>
      </c>
      <c r="C697" s="71"/>
      <c r="D697" s="71" t="s">
        <v>1958</v>
      </c>
      <c r="E697" s="72">
        <v>37700000</v>
      </c>
      <c r="F697" s="73">
        <v>40318</v>
      </c>
      <c r="G697" s="74"/>
      <c r="H697" s="71"/>
      <c r="I697" s="71"/>
      <c r="J697" s="71"/>
      <c r="K697" s="71" t="s">
        <v>1959</v>
      </c>
      <c r="L697" s="76"/>
    </row>
    <row r="698" spans="1:12">
      <c r="A698" s="71" t="s">
        <v>1960</v>
      </c>
      <c r="B698" s="71" t="s">
        <v>4137</v>
      </c>
      <c r="C698" s="71" t="s">
        <v>1961</v>
      </c>
      <c r="D698" s="71" t="s">
        <v>1962</v>
      </c>
      <c r="E698" s="72">
        <v>155000</v>
      </c>
      <c r="F698" s="73">
        <v>40273</v>
      </c>
      <c r="G698" s="74"/>
      <c r="H698" s="71"/>
      <c r="I698" s="71"/>
      <c r="J698" s="71"/>
      <c r="K698" s="71"/>
      <c r="L698" s="76"/>
    </row>
    <row r="699" spans="1:12">
      <c r="A699" s="71" t="s">
        <v>1963</v>
      </c>
      <c r="B699" s="71" t="s">
        <v>3481</v>
      </c>
      <c r="C699" s="71"/>
      <c r="D699" s="71" t="s">
        <v>1964</v>
      </c>
      <c r="E699" s="72">
        <v>5100000</v>
      </c>
      <c r="F699" s="73">
        <v>40345</v>
      </c>
      <c r="G699" s="74"/>
      <c r="H699" s="71"/>
      <c r="I699" s="71"/>
      <c r="J699" s="71"/>
      <c r="K699" s="71"/>
      <c r="L699" s="76"/>
    </row>
    <row r="700" spans="1:12">
      <c r="A700" s="71" t="s">
        <v>1965</v>
      </c>
      <c r="B700" s="71" t="s">
        <v>4435</v>
      </c>
      <c r="C700" s="71" t="s">
        <v>1966</v>
      </c>
      <c r="D700" s="71" t="s">
        <v>1967</v>
      </c>
      <c r="E700" s="72">
        <v>254947</v>
      </c>
      <c r="F700" s="73">
        <v>40241</v>
      </c>
      <c r="G700" s="74"/>
      <c r="H700" s="71"/>
      <c r="I700" s="71"/>
      <c r="J700" s="71"/>
      <c r="K700" s="71"/>
      <c r="L700" s="76"/>
    </row>
    <row r="701" spans="1:12">
      <c r="A701" s="71" t="s">
        <v>1968</v>
      </c>
      <c r="B701" s="71" t="s">
        <v>4133</v>
      </c>
      <c r="C701" s="71"/>
      <c r="D701" s="71" t="s">
        <v>1969</v>
      </c>
      <c r="E701" s="72">
        <v>200000</v>
      </c>
      <c r="F701" s="73">
        <v>40344</v>
      </c>
      <c r="G701" s="74"/>
      <c r="H701" s="71"/>
      <c r="I701" s="71"/>
      <c r="J701" s="71"/>
      <c r="K701" s="71"/>
      <c r="L701" s="76"/>
    </row>
    <row r="702" spans="1:12">
      <c r="A702" s="71" t="s">
        <v>1970</v>
      </c>
      <c r="B702" s="71" t="s">
        <v>4282</v>
      </c>
      <c r="C702" s="71"/>
      <c r="D702" s="71" t="s">
        <v>1971</v>
      </c>
      <c r="E702" s="72">
        <v>400000</v>
      </c>
      <c r="F702" s="73">
        <v>40269</v>
      </c>
      <c r="G702" s="74"/>
      <c r="H702" s="71"/>
      <c r="I702" s="71"/>
      <c r="J702" s="71"/>
      <c r="K702" s="71"/>
      <c r="L702" s="76"/>
    </row>
    <row r="703" spans="1:12">
      <c r="A703" s="71" t="s">
        <v>1972</v>
      </c>
      <c r="B703" s="71" t="s">
        <v>4062</v>
      </c>
      <c r="C703" s="71" t="s">
        <v>3324</v>
      </c>
      <c r="D703" s="71" t="s">
        <v>1973</v>
      </c>
      <c r="E703" s="72">
        <v>2301986</v>
      </c>
      <c r="F703" s="73">
        <v>40303</v>
      </c>
      <c r="G703" s="74">
        <v>40311</v>
      </c>
      <c r="H703" s="75">
        <v>40312</v>
      </c>
      <c r="I703" s="71"/>
      <c r="J703" s="71"/>
      <c r="K703" s="71"/>
      <c r="L703" s="76"/>
    </row>
    <row r="704" spans="1:12" ht="22.5">
      <c r="A704" s="71" t="s">
        <v>1974</v>
      </c>
      <c r="B704" s="71" t="s">
        <v>4062</v>
      </c>
      <c r="C704" s="71" t="s">
        <v>1975</v>
      </c>
      <c r="D704" s="71" t="s">
        <v>1976</v>
      </c>
      <c r="E704" s="72">
        <v>2443730</v>
      </c>
      <c r="F704" s="73">
        <v>40302</v>
      </c>
      <c r="G704" s="74">
        <v>40311</v>
      </c>
      <c r="H704" s="75">
        <v>40312</v>
      </c>
      <c r="I704" s="71"/>
      <c r="J704" s="71"/>
      <c r="K704" s="71"/>
      <c r="L704" s="76"/>
    </row>
    <row r="705" spans="1:12">
      <c r="A705" s="71" t="s">
        <v>1977</v>
      </c>
      <c r="B705" s="71" t="s">
        <v>4069</v>
      </c>
      <c r="C705" s="71" t="s">
        <v>2760</v>
      </c>
      <c r="D705" s="71" t="s">
        <v>1978</v>
      </c>
      <c r="E705" s="72">
        <v>4158296.02</v>
      </c>
      <c r="F705" s="73">
        <v>40283</v>
      </c>
      <c r="G705" s="74">
        <v>40344</v>
      </c>
      <c r="H705" s="75">
        <v>40331</v>
      </c>
      <c r="I705" s="71"/>
      <c r="J705" s="71"/>
      <c r="K705" s="71"/>
      <c r="L705" s="76"/>
    </row>
    <row r="706" spans="1:12">
      <c r="A706" s="71" t="s">
        <v>1979</v>
      </c>
      <c r="B706" s="71" t="s">
        <v>3259</v>
      </c>
      <c r="C706" s="71" t="s">
        <v>1662</v>
      </c>
      <c r="D706" s="71" t="s">
        <v>1980</v>
      </c>
      <c r="E706" s="72">
        <v>695694.06</v>
      </c>
      <c r="F706" s="73">
        <v>40269</v>
      </c>
      <c r="G706" s="74">
        <v>40344</v>
      </c>
      <c r="H706" s="75">
        <v>40350</v>
      </c>
      <c r="I706" s="71"/>
      <c r="J706" s="71"/>
      <c r="K706" s="71"/>
      <c r="L706" s="76"/>
    </row>
    <row r="707" spans="1:12">
      <c r="A707" s="71" t="s">
        <v>1981</v>
      </c>
      <c r="B707" s="71" t="s">
        <v>3259</v>
      </c>
      <c r="C707" s="71"/>
      <c r="D707" s="71" t="s">
        <v>1982</v>
      </c>
      <c r="E707" s="72">
        <v>787475</v>
      </c>
      <c r="F707" s="73">
        <v>40269</v>
      </c>
      <c r="G707" s="74"/>
      <c r="H707" s="71"/>
      <c r="I707" s="71"/>
      <c r="J707" s="71"/>
      <c r="K707" s="71"/>
      <c r="L707" s="76"/>
    </row>
    <row r="708" spans="1:12">
      <c r="A708" s="71" t="s">
        <v>1983</v>
      </c>
      <c r="B708" s="71" t="s">
        <v>4062</v>
      </c>
      <c r="C708" s="71" t="s">
        <v>3324</v>
      </c>
      <c r="D708" s="71" t="s">
        <v>1984</v>
      </c>
      <c r="E708" s="72">
        <v>244440</v>
      </c>
      <c r="F708" s="73">
        <v>40301</v>
      </c>
      <c r="G708" s="74">
        <v>40311</v>
      </c>
      <c r="H708" s="75">
        <v>40312</v>
      </c>
      <c r="I708" s="71"/>
      <c r="J708" s="71"/>
      <c r="K708" s="71"/>
      <c r="L708" s="76"/>
    </row>
    <row r="709" spans="1:12">
      <c r="A709" s="71" t="s">
        <v>1985</v>
      </c>
      <c r="B709" s="71" t="s">
        <v>1986</v>
      </c>
      <c r="C709" s="71"/>
      <c r="D709" s="71" t="s">
        <v>1987</v>
      </c>
      <c r="E709" s="72">
        <v>150000</v>
      </c>
      <c r="F709" s="73">
        <v>40316</v>
      </c>
      <c r="G709" s="74"/>
      <c r="H709" s="71"/>
      <c r="I709" s="71"/>
      <c r="J709" s="71"/>
      <c r="K709" s="71"/>
      <c r="L709" s="76"/>
    </row>
    <row r="710" spans="1:12">
      <c r="A710" s="71" t="s">
        <v>1988</v>
      </c>
      <c r="B710" s="71" t="s">
        <v>1986</v>
      </c>
      <c r="C710" s="71"/>
      <c r="D710" s="71" t="s">
        <v>1989</v>
      </c>
      <c r="E710" s="72">
        <v>120000</v>
      </c>
      <c r="F710" s="73">
        <v>40316</v>
      </c>
      <c r="G710" s="74"/>
      <c r="H710" s="71"/>
      <c r="I710" s="71"/>
      <c r="J710" s="71"/>
      <c r="K710" s="71"/>
      <c r="L710" s="76"/>
    </row>
    <row r="711" spans="1:12">
      <c r="A711" s="71" t="s">
        <v>1990</v>
      </c>
      <c r="B711" s="71" t="s">
        <v>4062</v>
      </c>
      <c r="C711" s="71" t="s">
        <v>3353</v>
      </c>
      <c r="D711" s="71" t="s">
        <v>1991</v>
      </c>
      <c r="E711" s="72">
        <v>141800</v>
      </c>
      <c r="F711" s="73">
        <v>40294</v>
      </c>
      <c r="G711" s="74">
        <v>40311</v>
      </c>
      <c r="H711" s="75">
        <v>40312</v>
      </c>
      <c r="I711" s="71"/>
      <c r="J711" s="71"/>
      <c r="K711" s="71"/>
      <c r="L711" s="76"/>
    </row>
    <row r="712" spans="1:12">
      <c r="A712" s="71" t="s">
        <v>1992</v>
      </c>
      <c r="B712" s="71" t="s">
        <v>4186</v>
      </c>
      <c r="C712" s="71" t="s">
        <v>1993</v>
      </c>
      <c r="D712" s="71" t="s">
        <v>1994</v>
      </c>
      <c r="E712" s="72">
        <v>255451</v>
      </c>
      <c r="F712" s="73">
        <v>40290</v>
      </c>
      <c r="G712" s="74">
        <v>40297</v>
      </c>
      <c r="H712" s="75">
        <v>40304</v>
      </c>
      <c r="I712" s="71"/>
      <c r="J712" s="71"/>
      <c r="K712" s="71"/>
      <c r="L712" s="76"/>
    </row>
    <row r="713" spans="1:12">
      <c r="A713" s="71" t="s">
        <v>1995</v>
      </c>
      <c r="B713" s="71" t="s">
        <v>3259</v>
      </c>
      <c r="C713" s="71" t="s">
        <v>1996</v>
      </c>
      <c r="D713" s="71" t="s">
        <v>1997</v>
      </c>
      <c r="E713" s="72">
        <v>384410</v>
      </c>
      <c r="F713" s="73">
        <v>40269</v>
      </c>
      <c r="G713" s="74">
        <v>40365</v>
      </c>
      <c r="H713" s="75">
        <v>40368</v>
      </c>
      <c r="I713" s="71"/>
      <c r="J713" s="71"/>
      <c r="K713" s="71"/>
      <c r="L713" s="76"/>
    </row>
    <row r="714" spans="1:12">
      <c r="A714" s="71" t="s">
        <v>1998</v>
      </c>
      <c r="B714" s="71" t="s">
        <v>4186</v>
      </c>
      <c r="C714" s="71" t="s">
        <v>1732</v>
      </c>
      <c r="D714" s="71" t="s">
        <v>1999</v>
      </c>
      <c r="E714" s="72">
        <v>213866.75</v>
      </c>
      <c r="F714" s="73">
        <v>40296</v>
      </c>
      <c r="G714" s="74">
        <v>40309</v>
      </c>
      <c r="H714" s="75">
        <v>40309</v>
      </c>
      <c r="I714" s="71"/>
      <c r="J714" s="71"/>
      <c r="K714" s="71"/>
      <c r="L714" s="76"/>
    </row>
    <row r="715" spans="1:12">
      <c r="A715" s="71" t="s">
        <v>2000</v>
      </c>
      <c r="B715" s="71" t="s">
        <v>2897</v>
      </c>
      <c r="C715" s="71" t="s">
        <v>2001</v>
      </c>
      <c r="D715" s="71" t="s">
        <v>2002</v>
      </c>
      <c r="E715" s="72">
        <v>162382</v>
      </c>
      <c r="F715" s="73">
        <v>40270</v>
      </c>
      <c r="G715" s="74">
        <v>40407</v>
      </c>
      <c r="H715" s="75">
        <v>40409</v>
      </c>
      <c r="I715" s="71"/>
      <c r="J715" s="71"/>
      <c r="K715" s="71"/>
      <c r="L715" s="76"/>
    </row>
    <row r="716" spans="1:12">
      <c r="A716" s="71" t="s">
        <v>2003</v>
      </c>
      <c r="B716" s="71" t="s">
        <v>4069</v>
      </c>
      <c r="C716" s="71" t="s">
        <v>2004</v>
      </c>
      <c r="D716" s="71" t="s">
        <v>2005</v>
      </c>
      <c r="E716" s="72">
        <v>1288689.82</v>
      </c>
      <c r="F716" s="73">
        <v>40269</v>
      </c>
      <c r="G716" s="74">
        <v>40365</v>
      </c>
      <c r="H716" s="75">
        <v>40435</v>
      </c>
      <c r="I716" s="71"/>
      <c r="J716" s="71"/>
      <c r="K716" s="71"/>
      <c r="L716" s="76"/>
    </row>
    <row r="717" spans="1:12">
      <c r="A717" s="71" t="s">
        <v>2006</v>
      </c>
      <c r="B717" s="71" t="s">
        <v>4128</v>
      </c>
      <c r="C717" s="71" t="s">
        <v>2007</v>
      </c>
      <c r="D717" s="71" t="s">
        <v>2008</v>
      </c>
      <c r="E717" s="72">
        <v>31471000</v>
      </c>
      <c r="F717" s="73">
        <v>40298</v>
      </c>
      <c r="G717" s="74">
        <v>40366</v>
      </c>
      <c r="H717" s="75">
        <v>40367</v>
      </c>
      <c r="I717" s="71"/>
      <c r="J717" s="71"/>
      <c r="K717" s="71"/>
      <c r="L717" s="76"/>
    </row>
    <row r="718" spans="1:12">
      <c r="A718" s="71" t="s">
        <v>2009</v>
      </c>
      <c r="B718" s="71" t="s">
        <v>4128</v>
      </c>
      <c r="C718" s="71" t="s">
        <v>3353</v>
      </c>
      <c r="D718" s="71" t="s">
        <v>2010</v>
      </c>
      <c r="E718" s="72">
        <v>964700</v>
      </c>
      <c r="F718" s="73">
        <v>40294</v>
      </c>
      <c r="G718" s="74">
        <v>40331</v>
      </c>
      <c r="H718" s="75">
        <v>40332</v>
      </c>
      <c r="I718" s="71"/>
      <c r="J718" s="71"/>
      <c r="K718" s="71"/>
      <c r="L718" s="76"/>
    </row>
    <row r="719" spans="1:12" ht="33.75">
      <c r="A719" s="71" t="s">
        <v>2011</v>
      </c>
      <c r="B719" s="71" t="s">
        <v>4147</v>
      </c>
      <c r="C719" s="71"/>
      <c r="D719" s="71" t="s">
        <v>2012</v>
      </c>
      <c r="E719" s="72">
        <v>643000</v>
      </c>
      <c r="F719" s="73">
        <v>40303</v>
      </c>
      <c r="G719" s="74"/>
      <c r="H719" s="71"/>
      <c r="I719" s="71"/>
      <c r="J719" s="71"/>
      <c r="K719" s="71" t="s">
        <v>2013</v>
      </c>
      <c r="L719" s="76"/>
    </row>
    <row r="720" spans="1:12">
      <c r="A720" s="71" t="s">
        <v>2014</v>
      </c>
      <c r="B720" s="71" t="s">
        <v>4056</v>
      </c>
      <c r="C720" s="71"/>
      <c r="D720" s="71" t="s">
        <v>2015</v>
      </c>
      <c r="E720" s="72">
        <v>59000000</v>
      </c>
      <c r="F720" s="73">
        <v>40325</v>
      </c>
      <c r="G720" s="74"/>
      <c r="H720" s="71"/>
      <c r="I720" s="71"/>
      <c r="J720" s="71"/>
      <c r="K720" s="71"/>
      <c r="L720" s="76"/>
    </row>
    <row r="721" spans="1:12">
      <c r="A721" s="94">
        <v>40269</v>
      </c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</row>
    <row r="722" spans="1:12">
      <c r="A722" s="71" t="s">
        <v>2016</v>
      </c>
      <c r="B722" s="71" t="s">
        <v>4062</v>
      </c>
      <c r="C722" s="71" t="s">
        <v>1718</v>
      </c>
      <c r="D722" s="71" t="s">
        <v>2017</v>
      </c>
      <c r="E722" s="72">
        <v>280000</v>
      </c>
      <c r="F722" s="73">
        <v>40297</v>
      </c>
      <c r="G722" s="74">
        <v>40311</v>
      </c>
      <c r="H722" s="75">
        <v>40312</v>
      </c>
      <c r="I722" s="71"/>
      <c r="J722" s="71"/>
      <c r="K722" s="71"/>
      <c r="L722" s="76"/>
    </row>
    <row r="723" spans="1:12">
      <c r="A723" s="71" t="s">
        <v>2018</v>
      </c>
      <c r="B723" s="71" t="s">
        <v>3259</v>
      </c>
      <c r="C723" s="71" t="s">
        <v>2019</v>
      </c>
      <c r="D723" s="71" t="s">
        <v>2020</v>
      </c>
      <c r="E723" s="72">
        <v>1281014</v>
      </c>
      <c r="F723" s="73">
        <v>40299</v>
      </c>
      <c r="G723" s="74">
        <v>40428</v>
      </c>
      <c r="H723" s="75">
        <v>40431</v>
      </c>
      <c r="I723" s="71"/>
      <c r="J723" s="71"/>
      <c r="K723" s="71"/>
      <c r="L723" s="76"/>
    </row>
    <row r="724" spans="1:12">
      <c r="A724" s="71" t="s">
        <v>2021</v>
      </c>
      <c r="B724" s="71" t="s">
        <v>4231</v>
      </c>
      <c r="C724" s="71" t="s">
        <v>2022</v>
      </c>
      <c r="D724" s="71" t="s">
        <v>2023</v>
      </c>
      <c r="E724" s="72">
        <v>319412</v>
      </c>
      <c r="F724" s="73">
        <v>40304</v>
      </c>
      <c r="G724" s="74">
        <v>40324</v>
      </c>
      <c r="H724" s="75">
        <v>40325</v>
      </c>
      <c r="I724" s="71"/>
      <c r="J724" s="71"/>
      <c r="K724" s="71"/>
      <c r="L724" s="76"/>
    </row>
    <row r="725" spans="1:12">
      <c r="A725" s="71" t="s">
        <v>2024</v>
      </c>
      <c r="B725" s="71" t="s">
        <v>4137</v>
      </c>
      <c r="C725" s="71"/>
      <c r="D725" s="71" t="s">
        <v>2025</v>
      </c>
      <c r="E725" s="72">
        <v>483853.24</v>
      </c>
      <c r="F725" s="73">
        <v>40299</v>
      </c>
      <c r="G725" s="74"/>
      <c r="H725" s="71"/>
      <c r="I725" s="71"/>
      <c r="J725" s="71"/>
      <c r="K725" s="71"/>
      <c r="L725" s="76"/>
    </row>
    <row r="726" spans="1:12">
      <c r="A726" s="71" t="s">
        <v>2026</v>
      </c>
      <c r="B726" s="71" t="s">
        <v>4062</v>
      </c>
      <c r="C726" s="71" t="s">
        <v>2027</v>
      </c>
      <c r="D726" s="71" t="s">
        <v>2028</v>
      </c>
      <c r="E726" s="72">
        <v>256600</v>
      </c>
      <c r="F726" s="73">
        <v>40295</v>
      </c>
      <c r="G726" s="74">
        <v>40353</v>
      </c>
      <c r="H726" s="75">
        <v>40354</v>
      </c>
      <c r="I726" s="71"/>
      <c r="J726" s="71"/>
      <c r="K726" s="71"/>
      <c r="L726" s="76"/>
    </row>
    <row r="727" spans="1:12">
      <c r="A727" s="71" t="s">
        <v>2029</v>
      </c>
      <c r="B727" s="71" t="s">
        <v>4062</v>
      </c>
      <c r="C727" s="71" t="s">
        <v>2027</v>
      </c>
      <c r="D727" s="71" t="s">
        <v>2030</v>
      </c>
      <c r="E727" s="72">
        <v>260750</v>
      </c>
      <c r="F727" s="73">
        <v>40295</v>
      </c>
      <c r="G727" s="74">
        <v>40353</v>
      </c>
      <c r="H727" s="75">
        <v>40354</v>
      </c>
      <c r="I727" s="71"/>
      <c r="J727" s="71"/>
      <c r="K727" s="71"/>
      <c r="L727" s="76"/>
    </row>
    <row r="728" spans="1:12">
      <c r="A728" s="71" t="s">
        <v>2031</v>
      </c>
      <c r="B728" s="71" t="s">
        <v>4062</v>
      </c>
      <c r="C728" s="71" t="s">
        <v>2027</v>
      </c>
      <c r="D728" s="71" t="s">
        <v>2032</v>
      </c>
      <c r="E728" s="72">
        <v>258200</v>
      </c>
      <c r="F728" s="73">
        <v>40295</v>
      </c>
      <c r="G728" s="74">
        <v>40353</v>
      </c>
      <c r="H728" s="75">
        <v>40354</v>
      </c>
      <c r="I728" s="71"/>
      <c r="J728" s="71"/>
      <c r="K728" s="71"/>
      <c r="L728" s="76"/>
    </row>
    <row r="729" spans="1:12">
      <c r="A729" s="71" t="s">
        <v>2033</v>
      </c>
      <c r="B729" s="71" t="s">
        <v>4062</v>
      </c>
      <c r="C729" s="71" t="s">
        <v>2027</v>
      </c>
      <c r="D729" s="71" t="s">
        <v>2034</v>
      </c>
      <c r="E729" s="72">
        <v>265850</v>
      </c>
      <c r="F729" s="73">
        <v>40295</v>
      </c>
      <c r="G729" s="74">
        <v>40353</v>
      </c>
      <c r="H729" s="75">
        <v>40354</v>
      </c>
      <c r="I729" s="71"/>
      <c r="J729" s="71"/>
      <c r="K729" s="71"/>
      <c r="L729" s="76"/>
    </row>
    <row r="730" spans="1:12">
      <c r="A730" s="71" t="s">
        <v>2035</v>
      </c>
      <c r="B730" s="71" t="s">
        <v>4062</v>
      </c>
      <c r="C730" s="71"/>
      <c r="D730" s="71" t="s">
        <v>2036</v>
      </c>
      <c r="E730" s="72">
        <v>400000</v>
      </c>
      <c r="F730" s="73">
        <v>40295</v>
      </c>
      <c r="G730" s="74"/>
      <c r="H730" s="71"/>
      <c r="I730" s="71"/>
      <c r="J730" s="71"/>
      <c r="K730" s="71"/>
      <c r="L730" s="76"/>
    </row>
    <row r="731" spans="1:12">
      <c r="A731" s="71" t="s">
        <v>2037</v>
      </c>
      <c r="B731" s="71" t="s">
        <v>2724</v>
      </c>
      <c r="C731" s="71"/>
      <c r="D731" s="71" t="s">
        <v>2038</v>
      </c>
      <c r="E731" s="72">
        <v>270000</v>
      </c>
      <c r="F731" s="73">
        <v>40317</v>
      </c>
      <c r="G731" s="74"/>
      <c r="H731" s="71"/>
      <c r="I731" s="71"/>
      <c r="J731" s="71"/>
      <c r="K731" s="71"/>
      <c r="L731" s="76"/>
    </row>
    <row r="732" spans="1:12">
      <c r="A732" s="71" t="s">
        <v>2039</v>
      </c>
      <c r="B732" s="71" t="s">
        <v>4069</v>
      </c>
      <c r="C732" s="71"/>
      <c r="D732" s="71" t="s">
        <v>2040</v>
      </c>
      <c r="E732" s="72">
        <v>275000</v>
      </c>
      <c r="F732" s="73">
        <v>40269</v>
      </c>
      <c r="G732" s="74"/>
      <c r="H732" s="71"/>
      <c r="I732" s="71"/>
      <c r="J732" s="71"/>
      <c r="K732" s="71"/>
      <c r="L732" s="76"/>
    </row>
    <row r="733" spans="1:12">
      <c r="A733" s="71" t="s">
        <v>2041</v>
      </c>
      <c r="B733" s="71" t="s">
        <v>2634</v>
      </c>
      <c r="C733" s="71"/>
      <c r="D733" s="71" t="s">
        <v>2042</v>
      </c>
      <c r="E733" s="72">
        <v>550000</v>
      </c>
      <c r="F733" s="73">
        <v>40311</v>
      </c>
      <c r="G733" s="74"/>
      <c r="H733" s="71"/>
      <c r="I733" s="71"/>
      <c r="J733" s="71"/>
      <c r="K733" s="71"/>
      <c r="L733" s="76"/>
    </row>
    <row r="734" spans="1:12">
      <c r="A734" s="71" t="s">
        <v>2043</v>
      </c>
      <c r="B734" s="71" t="s">
        <v>4062</v>
      </c>
      <c r="C734" s="71" t="s">
        <v>3324</v>
      </c>
      <c r="D734" s="71" t="s">
        <v>2044</v>
      </c>
      <c r="E734" s="72">
        <v>2654804</v>
      </c>
      <c r="F734" s="73">
        <v>40338</v>
      </c>
      <c r="G734" s="74">
        <v>40353</v>
      </c>
      <c r="H734" s="75">
        <v>40354</v>
      </c>
      <c r="I734" s="71"/>
      <c r="J734" s="71"/>
      <c r="K734" s="71"/>
      <c r="L734" s="76"/>
    </row>
    <row r="735" spans="1:12">
      <c r="A735" s="71" t="s">
        <v>2045</v>
      </c>
      <c r="B735" s="71" t="s">
        <v>4062</v>
      </c>
      <c r="C735" s="71" t="s">
        <v>3324</v>
      </c>
      <c r="D735" s="71" t="s">
        <v>2046</v>
      </c>
      <c r="E735" s="72">
        <v>3194700</v>
      </c>
      <c r="F735" s="73">
        <v>40337</v>
      </c>
      <c r="G735" s="74">
        <v>40353</v>
      </c>
      <c r="H735" s="75">
        <v>40354</v>
      </c>
      <c r="I735" s="71"/>
      <c r="J735" s="71"/>
      <c r="K735" s="71"/>
      <c r="L735" s="76"/>
    </row>
    <row r="736" spans="1:12">
      <c r="A736" s="71" t="s">
        <v>2047</v>
      </c>
      <c r="B736" s="71" t="s">
        <v>4056</v>
      </c>
      <c r="C736" s="71"/>
      <c r="D736" s="71" t="s">
        <v>2048</v>
      </c>
      <c r="E736" s="72">
        <v>4000000</v>
      </c>
      <c r="F736" s="73">
        <v>40513</v>
      </c>
      <c r="G736" s="74"/>
      <c r="H736" s="71"/>
      <c r="I736" s="71"/>
      <c r="J736" s="71"/>
      <c r="K736" s="71"/>
      <c r="L736" s="76"/>
    </row>
    <row r="737" spans="1:12">
      <c r="A737" s="71" t="s">
        <v>2049</v>
      </c>
      <c r="B737" s="71" t="s">
        <v>3259</v>
      </c>
      <c r="C737" s="71" t="s">
        <v>2050</v>
      </c>
      <c r="D737" s="71" t="s">
        <v>2051</v>
      </c>
      <c r="E737" s="72">
        <v>2571239.6</v>
      </c>
      <c r="F737" s="73">
        <v>40299</v>
      </c>
      <c r="G737" s="74">
        <v>40365</v>
      </c>
      <c r="H737" s="75">
        <v>40368</v>
      </c>
      <c r="I737" s="71"/>
      <c r="J737" s="71"/>
      <c r="K737" s="71"/>
      <c r="L737" s="76"/>
    </row>
    <row r="738" spans="1:12">
      <c r="A738" s="71" t="s">
        <v>2052</v>
      </c>
      <c r="B738" s="71" t="s">
        <v>3259</v>
      </c>
      <c r="C738" s="71" t="s">
        <v>2053</v>
      </c>
      <c r="D738" s="71" t="s">
        <v>2054</v>
      </c>
      <c r="E738" s="72"/>
      <c r="F738" s="73">
        <v>40299</v>
      </c>
      <c r="G738" s="74">
        <v>40344</v>
      </c>
      <c r="H738" s="75">
        <v>40350</v>
      </c>
      <c r="I738" s="71"/>
      <c r="J738" s="71"/>
      <c r="K738" s="71"/>
      <c r="L738" s="76"/>
    </row>
    <row r="739" spans="1:12">
      <c r="A739" s="71" t="s">
        <v>2055</v>
      </c>
      <c r="B739" s="71" t="s">
        <v>4062</v>
      </c>
      <c r="C739" s="71" t="s">
        <v>2050</v>
      </c>
      <c r="D739" s="71" t="s">
        <v>2056</v>
      </c>
      <c r="E739" s="72">
        <v>939880</v>
      </c>
      <c r="F739" s="73">
        <v>40304</v>
      </c>
      <c r="G739" s="74">
        <v>40311</v>
      </c>
      <c r="H739" s="75">
        <v>40312</v>
      </c>
      <c r="I739" s="71"/>
      <c r="J739" s="71"/>
      <c r="K739" s="71"/>
      <c r="L739" s="76"/>
    </row>
    <row r="740" spans="1:12">
      <c r="A740" s="71" t="s">
        <v>2057</v>
      </c>
      <c r="B740" s="71" t="s">
        <v>4128</v>
      </c>
      <c r="C740" s="71" t="s">
        <v>2058</v>
      </c>
      <c r="D740" s="71" t="s">
        <v>2059</v>
      </c>
      <c r="E740" s="72">
        <v>2116331</v>
      </c>
      <c r="F740" s="73">
        <v>40319</v>
      </c>
      <c r="G740" s="74">
        <v>40319</v>
      </c>
      <c r="H740" s="75">
        <v>40354</v>
      </c>
      <c r="I740" s="71"/>
      <c r="J740" s="71"/>
      <c r="K740" s="71"/>
      <c r="L740" s="76"/>
    </row>
    <row r="741" spans="1:12">
      <c r="A741" s="71" t="s">
        <v>2060</v>
      </c>
      <c r="B741" s="71" t="s">
        <v>2061</v>
      </c>
      <c r="C741" s="71"/>
      <c r="D741" s="71" t="s">
        <v>2062</v>
      </c>
      <c r="E741" s="72">
        <v>441176</v>
      </c>
      <c r="F741" s="73">
        <v>40310</v>
      </c>
      <c r="G741" s="74"/>
      <c r="H741" s="71"/>
      <c r="I741" s="71"/>
      <c r="J741" s="71"/>
      <c r="K741" s="71"/>
      <c r="L741" s="76"/>
    </row>
    <row r="742" spans="1:12">
      <c r="A742" s="71" t="s">
        <v>2063</v>
      </c>
      <c r="B742" s="71" t="s">
        <v>4128</v>
      </c>
      <c r="C742" s="71"/>
      <c r="D742" s="71" t="s">
        <v>2064</v>
      </c>
      <c r="E742" s="72">
        <v>15000000</v>
      </c>
      <c r="F742" s="73">
        <v>40390</v>
      </c>
      <c r="G742" s="74"/>
      <c r="H742" s="71"/>
      <c r="I742" s="71"/>
      <c r="J742" s="71"/>
      <c r="K742" s="71"/>
      <c r="L742" s="76"/>
    </row>
    <row r="743" spans="1:12" ht="22.5">
      <c r="A743" s="71" t="s">
        <v>2065</v>
      </c>
      <c r="B743" s="71" t="s">
        <v>4128</v>
      </c>
      <c r="C743" s="71" t="s">
        <v>2058</v>
      </c>
      <c r="D743" s="71" t="s">
        <v>2066</v>
      </c>
      <c r="E743" s="72">
        <v>3511662</v>
      </c>
      <c r="F743" s="73">
        <v>40301</v>
      </c>
      <c r="G743" s="74">
        <v>40319</v>
      </c>
      <c r="H743" s="75">
        <v>40354</v>
      </c>
      <c r="I743" s="71"/>
      <c r="J743" s="71"/>
      <c r="K743" s="71"/>
      <c r="L743" s="76"/>
    </row>
    <row r="744" spans="1:12" ht="22.5">
      <c r="A744" s="71" t="s">
        <v>2067</v>
      </c>
      <c r="B744" s="71" t="s">
        <v>4128</v>
      </c>
      <c r="C744" s="71"/>
      <c r="D744" s="71" t="s">
        <v>2068</v>
      </c>
      <c r="E744" s="72">
        <v>900000</v>
      </c>
      <c r="F744" s="73">
        <v>40305</v>
      </c>
      <c r="G744" s="74"/>
      <c r="H744" s="71"/>
      <c r="I744" s="71"/>
      <c r="J744" s="71"/>
      <c r="K744" s="71"/>
      <c r="L744" s="76"/>
    </row>
    <row r="745" spans="1:12">
      <c r="A745" s="71" t="s">
        <v>2069</v>
      </c>
      <c r="B745" s="71" t="s">
        <v>4056</v>
      </c>
      <c r="C745" s="71" t="s">
        <v>4119</v>
      </c>
      <c r="D745" s="71" t="s">
        <v>2048</v>
      </c>
      <c r="E745" s="72">
        <v>2350000</v>
      </c>
      <c r="F745" s="73">
        <v>40513</v>
      </c>
      <c r="G745" s="74" t="s">
        <v>4119</v>
      </c>
      <c r="H745" s="75" t="s">
        <v>4119</v>
      </c>
      <c r="I745" s="71"/>
      <c r="J745" s="71"/>
      <c r="K745" s="71"/>
      <c r="L745" s="76"/>
    </row>
    <row r="746" spans="1:12">
      <c r="A746" s="71" t="s">
        <v>2070</v>
      </c>
      <c r="B746" s="71" t="s">
        <v>4062</v>
      </c>
      <c r="C746" s="71" t="s">
        <v>2071</v>
      </c>
      <c r="D746" s="71" t="s">
        <v>2072</v>
      </c>
      <c r="E746" s="72">
        <v>247551</v>
      </c>
      <c r="F746" s="73">
        <v>40345</v>
      </c>
      <c r="G746" s="74">
        <v>40353</v>
      </c>
      <c r="H746" s="75">
        <v>40354</v>
      </c>
      <c r="I746" s="71"/>
      <c r="J746" s="71"/>
      <c r="K746" s="71"/>
      <c r="L746" s="76"/>
    </row>
    <row r="747" spans="1:12">
      <c r="A747" s="71" t="s">
        <v>2073</v>
      </c>
      <c r="B747" s="71" t="s">
        <v>4062</v>
      </c>
      <c r="C747" s="71" t="s">
        <v>2071</v>
      </c>
      <c r="D747" s="71" t="s">
        <v>2074</v>
      </c>
      <c r="E747" s="72">
        <v>247551</v>
      </c>
      <c r="F747" s="73">
        <v>40345</v>
      </c>
      <c r="G747" s="74">
        <v>40353</v>
      </c>
      <c r="H747" s="75">
        <v>40354</v>
      </c>
      <c r="I747" s="71"/>
      <c r="J747" s="71"/>
      <c r="K747" s="71"/>
      <c r="L747" s="76"/>
    </row>
    <row r="748" spans="1:12">
      <c r="A748" s="71" t="s">
        <v>2075</v>
      </c>
      <c r="B748" s="71" t="s">
        <v>4062</v>
      </c>
      <c r="C748" s="71" t="s">
        <v>2071</v>
      </c>
      <c r="D748" s="71" t="s">
        <v>2076</v>
      </c>
      <c r="E748" s="72">
        <v>247551</v>
      </c>
      <c r="F748" s="73">
        <v>40345</v>
      </c>
      <c r="G748" s="74">
        <v>40353</v>
      </c>
      <c r="H748" s="75">
        <v>40354</v>
      </c>
      <c r="I748" s="71"/>
      <c r="J748" s="71"/>
      <c r="K748" s="71"/>
      <c r="L748" s="76"/>
    </row>
    <row r="749" spans="1:12">
      <c r="A749" s="71" t="s">
        <v>2077</v>
      </c>
      <c r="B749" s="71" t="s">
        <v>4062</v>
      </c>
      <c r="C749" s="71" t="s">
        <v>2071</v>
      </c>
      <c r="D749" s="71" t="s">
        <v>2078</v>
      </c>
      <c r="E749" s="72">
        <v>247551</v>
      </c>
      <c r="F749" s="73">
        <v>40345</v>
      </c>
      <c r="G749" s="74">
        <v>40353</v>
      </c>
      <c r="H749" s="75">
        <v>40354</v>
      </c>
      <c r="I749" s="71"/>
      <c r="J749" s="71"/>
      <c r="K749" s="71"/>
      <c r="L749" s="76"/>
    </row>
    <row r="750" spans="1:12">
      <c r="A750" s="71" t="s">
        <v>2079</v>
      </c>
      <c r="B750" s="71" t="s">
        <v>4062</v>
      </c>
      <c r="C750" s="71" t="s">
        <v>2071</v>
      </c>
      <c r="D750" s="71" t="s">
        <v>2080</v>
      </c>
      <c r="E750" s="72">
        <v>247551</v>
      </c>
      <c r="F750" s="73">
        <v>40345</v>
      </c>
      <c r="G750" s="74">
        <v>40353</v>
      </c>
      <c r="H750" s="75">
        <v>40354</v>
      </c>
      <c r="I750" s="71"/>
      <c r="J750" s="71"/>
      <c r="K750" s="71"/>
      <c r="L750" s="76"/>
    </row>
    <row r="751" spans="1:12">
      <c r="A751" s="71" t="s">
        <v>2081</v>
      </c>
      <c r="B751" s="71" t="s">
        <v>4062</v>
      </c>
      <c r="C751" s="71" t="s">
        <v>2071</v>
      </c>
      <c r="D751" s="71" t="s">
        <v>2082</v>
      </c>
      <c r="E751" s="72">
        <v>247551</v>
      </c>
      <c r="F751" s="73">
        <v>40345</v>
      </c>
      <c r="G751" s="74">
        <v>40353</v>
      </c>
      <c r="H751" s="75">
        <v>40354</v>
      </c>
      <c r="I751" s="71"/>
      <c r="J751" s="71"/>
      <c r="K751" s="71"/>
      <c r="L751" s="76"/>
    </row>
    <row r="752" spans="1:12">
      <c r="A752" s="71" t="s">
        <v>2083</v>
      </c>
      <c r="B752" s="71" t="s">
        <v>4062</v>
      </c>
      <c r="C752" s="71" t="s">
        <v>2071</v>
      </c>
      <c r="D752" s="71" t="s">
        <v>2084</v>
      </c>
      <c r="E752" s="72">
        <v>248943</v>
      </c>
      <c r="F752" s="73">
        <v>40345</v>
      </c>
      <c r="G752" s="74">
        <v>40367</v>
      </c>
      <c r="H752" s="75">
        <v>40368</v>
      </c>
      <c r="I752" s="71"/>
      <c r="J752" s="71"/>
      <c r="K752" s="71"/>
      <c r="L752" s="76"/>
    </row>
    <row r="753" spans="1:12">
      <c r="A753" s="71" t="s">
        <v>2085</v>
      </c>
      <c r="B753" s="71" t="s">
        <v>4069</v>
      </c>
      <c r="C753" s="71"/>
      <c r="D753" s="71" t="s">
        <v>2086</v>
      </c>
      <c r="E753" s="72">
        <v>4800000</v>
      </c>
      <c r="F753" s="73">
        <v>40299</v>
      </c>
      <c r="G753" s="74"/>
      <c r="H753" s="71"/>
      <c r="I753" s="71"/>
      <c r="J753" s="71"/>
      <c r="K753" s="71"/>
      <c r="L753" s="76"/>
    </row>
    <row r="754" spans="1:12">
      <c r="A754" s="71" t="s">
        <v>2087</v>
      </c>
      <c r="B754" s="71" t="s">
        <v>4062</v>
      </c>
      <c r="C754" s="71" t="s">
        <v>3260</v>
      </c>
      <c r="D754" s="71" t="s">
        <v>2088</v>
      </c>
      <c r="E754" s="72">
        <v>2849000</v>
      </c>
      <c r="F754" s="73">
        <v>40330</v>
      </c>
      <c r="G754" s="74">
        <v>40353</v>
      </c>
      <c r="H754" s="75">
        <v>40354</v>
      </c>
      <c r="I754" s="71"/>
      <c r="J754" s="71"/>
      <c r="K754" s="71"/>
      <c r="L754" s="76"/>
    </row>
    <row r="755" spans="1:12">
      <c r="A755" s="71" t="s">
        <v>2089</v>
      </c>
      <c r="B755" s="71" t="s">
        <v>4062</v>
      </c>
      <c r="C755" s="71" t="s">
        <v>3324</v>
      </c>
      <c r="D755" s="71" t="s">
        <v>2090</v>
      </c>
      <c r="E755" s="72">
        <v>2560000</v>
      </c>
      <c r="F755" s="73">
        <v>40330</v>
      </c>
      <c r="G755" s="74">
        <v>40311</v>
      </c>
      <c r="H755" s="75">
        <v>40354</v>
      </c>
      <c r="I755" s="71"/>
      <c r="J755" s="71"/>
      <c r="K755" s="71"/>
      <c r="L755" s="76"/>
    </row>
    <row r="756" spans="1:12">
      <c r="A756" s="71" t="s">
        <v>2091</v>
      </c>
      <c r="B756" s="71" t="s">
        <v>4062</v>
      </c>
      <c r="C756" s="71" t="s">
        <v>3324</v>
      </c>
      <c r="D756" s="71" t="s">
        <v>2092</v>
      </c>
      <c r="E756" s="72">
        <v>2826300</v>
      </c>
      <c r="F756" s="73">
        <v>40330</v>
      </c>
      <c r="G756" s="74">
        <v>40311</v>
      </c>
      <c r="H756" s="75">
        <v>40354</v>
      </c>
      <c r="I756" s="71"/>
      <c r="J756" s="71"/>
      <c r="K756" s="71"/>
      <c r="L756" s="76"/>
    </row>
    <row r="757" spans="1:12">
      <c r="A757" s="71" t="s">
        <v>2093</v>
      </c>
      <c r="B757" s="71" t="s">
        <v>4062</v>
      </c>
      <c r="C757" s="71"/>
      <c r="D757" s="71" t="s">
        <v>2094</v>
      </c>
      <c r="E757" s="72">
        <v>910000</v>
      </c>
      <c r="F757" s="73">
        <v>40339</v>
      </c>
      <c r="G757" s="74"/>
      <c r="H757" s="71"/>
      <c r="I757" s="71"/>
      <c r="J757" s="71"/>
      <c r="K757" s="71"/>
      <c r="L757" s="76"/>
    </row>
    <row r="758" spans="1:12">
      <c r="A758" s="71" t="s">
        <v>2095</v>
      </c>
      <c r="B758" s="71" t="s">
        <v>4062</v>
      </c>
      <c r="C758" s="71" t="s">
        <v>2096</v>
      </c>
      <c r="D758" s="71" t="s">
        <v>2097</v>
      </c>
      <c r="E758" s="72">
        <v>419995</v>
      </c>
      <c r="F758" s="73">
        <v>40344</v>
      </c>
      <c r="G758" s="74">
        <v>40353</v>
      </c>
      <c r="H758" s="75">
        <v>40354</v>
      </c>
      <c r="I758" s="71"/>
      <c r="J758" s="71"/>
      <c r="K758" s="71"/>
      <c r="L758" s="76"/>
    </row>
    <row r="759" spans="1:12">
      <c r="A759" s="71" t="s">
        <v>2098</v>
      </c>
      <c r="B759" s="71" t="s">
        <v>4062</v>
      </c>
      <c r="C759" s="71" t="s">
        <v>2099</v>
      </c>
      <c r="D759" s="71" t="s">
        <v>2100</v>
      </c>
      <c r="E759" s="72">
        <v>339468</v>
      </c>
      <c r="F759" s="73">
        <v>40343</v>
      </c>
      <c r="G759" s="74">
        <v>40353</v>
      </c>
      <c r="H759" s="75">
        <v>40354</v>
      </c>
      <c r="I759" s="71"/>
      <c r="J759" s="71"/>
      <c r="K759" s="71"/>
      <c r="L759" s="76"/>
    </row>
    <row r="760" spans="1:12">
      <c r="A760" s="71" t="s">
        <v>2101</v>
      </c>
      <c r="B760" s="71" t="s">
        <v>4062</v>
      </c>
      <c r="C760" s="71" t="s">
        <v>2099</v>
      </c>
      <c r="D760" s="71" t="s">
        <v>2102</v>
      </c>
      <c r="E760" s="72">
        <v>962000</v>
      </c>
      <c r="F760" s="73">
        <v>40346</v>
      </c>
      <c r="G760" s="74">
        <v>40353</v>
      </c>
      <c r="H760" s="75">
        <v>40354</v>
      </c>
      <c r="I760" s="71"/>
      <c r="J760" s="71"/>
      <c r="K760" s="71"/>
      <c r="L760" s="76"/>
    </row>
    <row r="761" spans="1:12">
      <c r="A761" s="71" t="s">
        <v>2103</v>
      </c>
      <c r="B761" s="71" t="s">
        <v>4062</v>
      </c>
      <c r="C761" s="71" t="s">
        <v>3387</v>
      </c>
      <c r="D761" s="71" t="s">
        <v>2104</v>
      </c>
      <c r="E761" s="72">
        <v>1095667</v>
      </c>
      <c r="F761" s="73">
        <v>40345</v>
      </c>
      <c r="G761" s="74">
        <v>40353</v>
      </c>
      <c r="H761" s="75">
        <v>40354</v>
      </c>
      <c r="I761" s="71"/>
      <c r="J761" s="71"/>
      <c r="K761" s="71"/>
      <c r="L761" s="76"/>
    </row>
    <row r="762" spans="1:12" ht="22.5">
      <c r="A762" s="71" t="s">
        <v>2105</v>
      </c>
      <c r="B762" s="71" t="s">
        <v>3259</v>
      </c>
      <c r="C762" s="71" t="s">
        <v>2106</v>
      </c>
      <c r="D762" s="71" t="s">
        <v>2107</v>
      </c>
      <c r="E762" s="72">
        <v>222059.17</v>
      </c>
      <c r="F762" s="73">
        <v>40299</v>
      </c>
      <c r="G762" s="74">
        <v>40365</v>
      </c>
      <c r="H762" s="75">
        <v>40372</v>
      </c>
      <c r="I762" s="71"/>
      <c r="J762" s="71"/>
      <c r="K762" s="71"/>
      <c r="L762" s="76"/>
    </row>
    <row r="763" spans="1:12">
      <c r="A763" s="71" t="s">
        <v>2108</v>
      </c>
      <c r="B763" s="71" t="s">
        <v>4069</v>
      </c>
      <c r="C763" s="71" t="s">
        <v>2109</v>
      </c>
      <c r="D763" s="71" t="s">
        <v>2110</v>
      </c>
      <c r="E763" s="72">
        <v>5255323.7300000004</v>
      </c>
      <c r="F763" s="73">
        <v>40299</v>
      </c>
      <c r="G763" s="74">
        <v>40365</v>
      </c>
      <c r="H763" s="75">
        <v>40435</v>
      </c>
      <c r="I763" s="71" t="s">
        <v>4119</v>
      </c>
      <c r="J763" s="71"/>
      <c r="K763" s="71"/>
      <c r="L763" s="76"/>
    </row>
    <row r="764" spans="1:12">
      <c r="A764" s="71" t="s">
        <v>2111</v>
      </c>
      <c r="B764" s="71" t="s">
        <v>3175</v>
      </c>
      <c r="C764" s="71"/>
      <c r="D764" s="71" t="s">
        <v>2112</v>
      </c>
      <c r="E764" s="72">
        <v>250000</v>
      </c>
      <c r="F764" s="73">
        <v>40317</v>
      </c>
      <c r="G764" s="74"/>
      <c r="H764" s="71"/>
      <c r="I764" s="71"/>
      <c r="J764" s="71"/>
      <c r="K764" s="71"/>
      <c r="L764" s="76"/>
    </row>
    <row r="765" spans="1:12">
      <c r="A765" s="71" t="s">
        <v>2113</v>
      </c>
      <c r="B765" s="71" t="s">
        <v>4062</v>
      </c>
      <c r="C765" s="71" t="s">
        <v>1809</v>
      </c>
      <c r="D765" s="71" t="s">
        <v>2114</v>
      </c>
      <c r="E765" s="72">
        <v>2350000</v>
      </c>
      <c r="F765" s="73">
        <v>40372</v>
      </c>
      <c r="G765" s="74">
        <v>40402</v>
      </c>
      <c r="H765" s="75">
        <v>40403</v>
      </c>
      <c r="I765" s="71"/>
      <c r="J765" s="71"/>
      <c r="K765" s="71"/>
      <c r="L765" s="76"/>
    </row>
    <row r="766" spans="1:12">
      <c r="A766" s="71" t="s">
        <v>2115</v>
      </c>
      <c r="B766" s="71" t="s">
        <v>4062</v>
      </c>
      <c r="C766" s="71" t="s">
        <v>1809</v>
      </c>
      <c r="D766" s="71" t="s">
        <v>2116</v>
      </c>
      <c r="E766" s="72">
        <v>2189700</v>
      </c>
      <c r="F766" s="73">
        <v>40372</v>
      </c>
      <c r="G766" s="74">
        <v>40402</v>
      </c>
      <c r="H766" s="75">
        <v>40403</v>
      </c>
      <c r="I766" s="71"/>
      <c r="J766" s="71"/>
      <c r="K766" s="71"/>
      <c r="L766" s="76"/>
    </row>
    <row r="767" spans="1:12">
      <c r="A767" s="71" t="s">
        <v>2117</v>
      </c>
      <c r="B767" s="71" t="s">
        <v>4062</v>
      </c>
      <c r="C767" s="71" t="s">
        <v>1809</v>
      </c>
      <c r="D767" s="71" t="s">
        <v>2118</v>
      </c>
      <c r="E767" s="72">
        <v>2327000</v>
      </c>
      <c r="F767" s="73">
        <v>40372</v>
      </c>
      <c r="G767" s="74">
        <v>40402</v>
      </c>
      <c r="H767" s="75">
        <v>40403</v>
      </c>
      <c r="I767" s="71"/>
      <c r="J767" s="71"/>
      <c r="K767" s="71"/>
      <c r="L767" s="76"/>
    </row>
    <row r="768" spans="1:12">
      <c r="A768" s="71" t="s">
        <v>2119</v>
      </c>
      <c r="B768" s="71" t="s">
        <v>4066</v>
      </c>
      <c r="C768" s="71" t="s">
        <v>3335</v>
      </c>
      <c r="D768" s="71" t="s">
        <v>2120</v>
      </c>
      <c r="E768" s="72">
        <v>442777</v>
      </c>
      <c r="F768" s="75">
        <v>40337</v>
      </c>
      <c r="G768" s="74">
        <v>40374</v>
      </c>
      <c r="H768" s="75">
        <v>40381</v>
      </c>
      <c r="I768" s="71"/>
      <c r="J768" s="71"/>
      <c r="K768" s="71"/>
      <c r="L768" s="76"/>
    </row>
    <row r="769" spans="1:12">
      <c r="A769" s="71" t="s">
        <v>2121</v>
      </c>
      <c r="B769" s="71" t="s">
        <v>3175</v>
      </c>
      <c r="C769" s="71"/>
      <c r="D769" s="71" t="s">
        <v>2122</v>
      </c>
      <c r="E769" s="72">
        <v>80000</v>
      </c>
      <c r="F769" s="73">
        <v>40323</v>
      </c>
      <c r="G769" s="74"/>
      <c r="H769" s="71"/>
      <c r="I769" s="71"/>
      <c r="J769" s="71"/>
      <c r="K769" s="71"/>
      <c r="L769" s="76"/>
    </row>
    <row r="770" spans="1:12">
      <c r="A770" s="71" t="s">
        <v>2123</v>
      </c>
      <c r="B770" s="71" t="s">
        <v>4062</v>
      </c>
      <c r="C770" s="71" t="s">
        <v>2071</v>
      </c>
      <c r="D770" s="71" t="s">
        <v>2124</v>
      </c>
      <c r="E770" s="72">
        <v>247551</v>
      </c>
      <c r="F770" s="73">
        <v>40360</v>
      </c>
      <c r="G770" s="74">
        <v>40353</v>
      </c>
      <c r="H770" s="75">
        <v>40354</v>
      </c>
      <c r="I770" s="71"/>
      <c r="J770" s="71"/>
      <c r="K770" s="71"/>
      <c r="L770" s="76"/>
    </row>
    <row r="771" spans="1:12">
      <c r="A771" s="71" t="s">
        <v>2125</v>
      </c>
      <c r="B771" s="71" t="s">
        <v>4062</v>
      </c>
      <c r="C771" s="71"/>
      <c r="D771" s="71" t="s">
        <v>2126</v>
      </c>
      <c r="E771" s="72">
        <v>300000</v>
      </c>
      <c r="F771" s="73">
        <v>40360</v>
      </c>
      <c r="G771" s="74"/>
      <c r="H771" s="71"/>
      <c r="I771" s="71"/>
      <c r="J771" s="71"/>
      <c r="K771" s="71"/>
      <c r="L771" s="76"/>
    </row>
    <row r="772" spans="1:12">
      <c r="A772" s="71" t="s">
        <v>2127</v>
      </c>
      <c r="B772" s="71" t="s">
        <v>4062</v>
      </c>
      <c r="C772" s="71"/>
      <c r="D772" s="71" t="s">
        <v>2128</v>
      </c>
      <c r="E772" s="72">
        <v>300000</v>
      </c>
      <c r="F772" s="73">
        <v>40360</v>
      </c>
      <c r="G772" s="74"/>
      <c r="H772" s="71"/>
      <c r="I772" s="71"/>
      <c r="J772" s="71"/>
      <c r="K772" s="71"/>
      <c r="L772" s="76"/>
    </row>
    <row r="773" spans="1:12">
      <c r="A773" s="71" t="s">
        <v>2129</v>
      </c>
      <c r="B773" s="71" t="s">
        <v>4062</v>
      </c>
      <c r="C773" s="71"/>
      <c r="D773" s="71" t="s">
        <v>2130</v>
      </c>
      <c r="E773" s="72">
        <v>300000</v>
      </c>
      <c r="F773" s="73">
        <v>40360</v>
      </c>
      <c r="G773" s="74"/>
      <c r="H773" s="71"/>
      <c r="I773" s="71"/>
      <c r="J773" s="71"/>
      <c r="K773" s="71"/>
      <c r="L773" s="76"/>
    </row>
    <row r="774" spans="1:12">
      <c r="A774" s="71" t="s">
        <v>2131</v>
      </c>
      <c r="B774" s="71" t="s">
        <v>4062</v>
      </c>
      <c r="C774" s="71" t="s">
        <v>2071</v>
      </c>
      <c r="D774" s="71" t="s">
        <v>2132</v>
      </c>
      <c r="E774" s="72">
        <v>247551</v>
      </c>
      <c r="F774" s="73">
        <v>40360</v>
      </c>
      <c r="G774" s="74">
        <v>40367</v>
      </c>
      <c r="H774" s="75">
        <v>40368</v>
      </c>
      <c r="I774" s="71"/>
      <c r="J774" s="71"/>
      <c r="K774" s="71"/>
      <c r="L774" s="76"/>
    </row>
    <row r="775" spans="1:12">
      <c r="A775" s="71" t="s">
        <v>2133</v>
      </c>
      <c r="B775" s="71" t="s">
        <v>4062</v>
      </c>
      <c r="C775" s="71"/>
      <c r="D775" s="71" t="s">
        <v>2134</v>
      </c>
      <c r="E775" s="72">
        <v>300000</v>
      </c>
      <c r="F775" s="73">
        <v>40360</v>
      </c>
      <c r="G775" s="74"/>
      <c r="H775" s="71"/>
      <c r="I775" s="71"/>
      <c r="J775" s="71"/>
      <c r="K775" s="71"/>
      <c r="L775" s="76"/>
    </row>
    <row r="776" spans="1:12">
      <c r="A776" s="71" t="s">
        <v>2135</v>
      </c>
      <c r="B776" s="71" t="s">
        <v>4062</v>
      </c>
      <c r="C776" s="71"/>
      <c r="D776" s="71" t="s">
        <v>2136</v>
      </c>
      <c r="E776" s="72">
        <v>300000</v>
      </c>
      <c r="F776" s="73">
        <v>40360</v>
      </c>
      <c r="G776" s="74"/>
      <c r="H776" s="71"/>
      <c r="I776" s="71"/>
      <c r="J776" s="71"/>
      <c r="K776" s="71"/>
      <c r="L776" s="76"/>
    </row>
    <row r="777" spans="1:12">
      <c r="A777" s="71" t="s">
        <v>2137</v>
      </c>
      <c r="B777" s="71" t="s">
        <v>3481</v>
      </c>
      <c r="C777" s="71" t="s">
        <v>1931</v>
      </c>
      <c r="D777" s="71" t="s">
        <v>2138</v>
      </c>
      <c r="E777" s="72">
        <v>130000</v>
      </c>
      <c r="F777" s="73">
        <v>40323</v>
      </c>
      <c r="G777" s="74">
        <v>40336</v>
      </c>
      <c r="H777" s="75">
        <v>40337</v>
      </c>
      <c r="I777" s="71"/>
      <c r="J777" s="71"/>
      <c r="K777" s="71"/>
      <c r="L777" s="76"/>
    </row>
    <row r="778" spans="1:12">
      <c r="A778" s="71" t="s">
        <v>2139</v>
      </c>
      <c r="B778" s="71" t="s">
        <v>2140</v>
      </c>
      <c r="C778" s="71"/>
      <c r="D778" s="71" t="s">
        <v>2141</v>
      </c>
      <c r="E778" s="72">
        <v>1200000</v>
      </c>
      <c r="F778" s="73">
        <v>40246</v>
      </c>
      <c r="G778" s="74"/>
      <c r="H778" s="71"/>
      <c r="I778" s="71"/>
      <c r="J778" s="71"/>
      <c r="K778" s="71"/>
      <c r="L778" s="76"/>
    </row>
    <row r="779" spans="1:12">
      <c r="A779" s="71" t="s">
        <v>2142</v>
      </c>
      <c r="B779" s="71" t="s">
        <v>4069</v>
      </c>
      <c r="C779" s="71" t="s">
        <v>2143</v>
      </c>
      <c r="D779" s="71" t="s">
        <v>2144</v>
      </c>
      <c r="E779" s="72">
        <v>139145</v>
      </c>
      <c r="F779" s="73">
        <v>40330</v>
      </c>
      <c r="G779" s="74">
        <v>40344</v>
      </c>
      <c r="H779" s="75">
        <v>40331</v>
      </c>
      <c r="I779" s="71"/>
      <c r="J779" s="71"/>
      <c r="K779" s="71"/>
      <c r="L779" s="76"/>
    </row>
    <row r="780" spans="1:12">
      <c r="A780" s="71" t="s">
        <v>2145</v>
      </c>
      <c r="B780" s="71" t="s">
        <v>4069</v>
      </c>
      <c r="C780" s="71" t="s">
        <v>3353</v>
      </c>
      <c r="D780" s="71" t="s">
        <v>2146</v>
      </c>
      <c r="E780" s="72">
        <v>541700</v>
      </c>
      <c r="F780" s="73">
        <v>40318</v>
      </c>
      <c r="G780" s="74">
        <v>40365</v>
      </c>
      <c r="H780" s="75">
        <v>40435</v>
      </c>
      <c r="I780" s="71"/>
      <c r="J780" s="71"/>
      <c r="K780" s="71"/>
      <c r="L780" s="76"/>
    </row>
    <row r="781" spans="1:12">
      <c r="A781" s="71" t="s">
        <v>2147</v>
      </c>
      <c r="B781" s="71" t="s">
        <v>3481</v>
      </c>
      <c r="C781" s="71" t="s">
        <v>1859</v>
      </c>
      <c r="D781" s="71" t="s">
        <v>2148</v>
      </c>
      <c r="E781" s="72">
        <v>300000</v>
      </c>
      <c r="F781" s="73">
        <v>40297</v>
      </c>
      <c r="G781" s="74">
        <v>40309</v>
      </c>
      <c r="H781" s="75">
        <v>40375</v>
      </c>
      <c r="I781" s="71"/>
      <c r="J781" s="71"/>
      <c r="K781" s="71"/>
      <c r="L781" s="76"/>
    </row>
    <row r="782" spans="1:12">
      <c r="A782" s="71" t="s">
        <v>2149</v>
      </c>
      <c r="B782" s="71" t="s">
        <v>3259</v>
      </c>
      <c r="C782" s="71"/>
      <c r="D782" s="71" t="s">
        <v>2150</v>
      </c>
      <c r="E782" s="72">
        <v>170000</v>
      </c>
      <c r="F782" s="73">
        <v>40299</v>
      </c>
      <c r="G782" s="74"/>
      <c r="H782" s="71"/>
      <c r="I782" s="71"/>
      <c r="J782" s="71"/>
      <c r="K782" s="71"/>
      <c r="L782" s="76"/>
    </row>
    <row r="783" spans="1:12">
      <c r="A783" s="71" t="s">
        <v>2151</v>
      </c>
      <c r="B783" s="71" t="s">
        <v>4133</v>
      </c>
      <c r="C783" s="71"/>
      <c r="D783" s="71" t="s">
        <v>2152</v>
      </c>
      <c r="E783" s="72">
        <v>3500000</v>
      </c>
      <c r="F783" s="73">
        <v>40367</v>
      </c>
      <c r="G783" s="74"/>
      <c r="H783" s="71"/>
      <c r="I783" s="71"/>
      <c r="J783" s="71"/>
      <c r="K783" s="71"/>
      <c r="L783" s="76"/>
    </row>
    <row r="784" spans="1:12">
      <c r="A784" s="94">
        <v>40299</v>
      </c>
      <c r="B784" s="71"/>
      <c r="C784" s="71"/>
      <c r="D784" s="71"/>
      <c r="E784" s="72"/>
      <c r="F784" s="73"/>
      <c r="G784" s="74"/>
      <c r="H784" s="71"/>
      <c r="I784" s="71"/>
      <c r="J784" s="71"/>
      <c r="K784" s="71"/>
      <c r="L784" s="76"/>
    </row>
    <row r="785" spans="1:12">
      <c r="A785" s="71" t="s">
        <v>2153</v>
      </c>
      <c r="B785" s="71" t="s">
        <v>3175</v>
      </c>
      <c r="C785" s="71"/>
      <c r="D785" s="71" t="s">
        <v>2154</v>
      </c>
      <c r="E785" s="72">
        <v>365000</v>
      </c>
      <c r="F785" s="73">
        <v>40347</v>
      </c>
      <c r="G785" s="74"/>
      <c r="H785" s="71"/>
      <c r="I785" s="71"/>
      <c r="J785" s="71"/>
      <c r="K785" s="71"/>
      <c r="L785" s="76"/>
    </row>
    <row r="786" spans="1:12">
      <c r="A786" s="71" t="s">
        <v>2155</v>
      </c>
      <c r="B786" s="71" t="s">
        <v>1986</v>
      </c>
      <c r="C786" s="71"/>
      <c r="D786" s="71" t="s">
        <v>2156</v>
      </c>
      <c r="E786" s="72">
        <v>440000</v>
      </c>
      <c r="F786" s="73">
        <v>40308</v>
      </c>
      <c r="G786" s="74"/>
      <c r="H786" s="71"/>
      <c r="I786" s="71"/>
      <c r="J786" s="71"/>
      <c r="K786" s="71"/>
      <c r="L786" s="76" t="s">
        <v>2877</v>
      </c>
    </row>
    <row r="787" spans="1:12">
      <c r="A787" s="71" t="s">
        <v>2157</v>
      </c>
      <c r="B787" s="71" t="s">
        <v>4062</v>
      </c>
      <c r="C787" s="71" t="s">
        <v>3324</v>
      </c>
      <c r="D787" s="71" t="s">
        <v>2158</v>
      </c>
      <c r="E787" s="72">
        <v>2637000</v>
      </c>
      <c r="F787" s="73">
        <v>40343</v>
      </c>
      <c r="G787" s="74">
        <v>40353</v>
      </c>
      <c r="H787" s="75">
        <v>40435</v>
      </c>
      <c r="I787" s="71"/>
      <c r="J787" s="71"/>
      <c r="K787" s="71"/>
      <c r="L787" s="76"/>
    </row>
    <row r="788" spans="1:12">
      <c r="A788" s="71" t="s">
        <v>2159</v>
      </c>
      <c r="B788" s="71" t="s">
        <v>4062</v>
      </c>
      <c r="C788" s="71" t="s">
        <v>3260</v>
      </c>
      <c r="D788" s="71" t="s">
        <v>2160</v>
      </c>
      <c r="E788" s="72">
        <v>2649000</v>
      </c>
      <c r="F788" s="73">
        <v>40343</v>
      </c>
      <c r="G788" s="74">
        <v>40353</v>
      </c>
      <c r="H788" s="75">
        <v>40353</v>
      </c>
      <c r="I788" s="71"/>
      <c r="J788" s="71"/>
      <c r="K788" s="71"/>
      <c r="L788" s="76"/>
    </row>
    <row r="789" spans="1:12">
      <c r="A789" s="71" t="s">
        <v>2161</v>
      </c>
      <c r="B789" s="71" t="s">
        <v>4062</v>
      </c>
      <c r="C789" s="71" t="s">
        <v>2162</v>
      </c>
      <c r="D789" s="71" t="s">
        <v>2163</v>
      </c>
      <c r="E789" s="72">
        <v>159829</v>
      </c>
      <c r="F789" s="73">
        <v>40346</v>
      </c>
      <c r="G789" s="74">
        <v>40353</v>
      </c>
      <c r="H789" s="75">
        <v>40354</v>
      </c>
      <c r="I789" s="71"/>
      <c r="J789" s="71"/>
      <c r="K789" s="71"/>
      <c r="L789" s="76"/>
    </row>
    <row r="790" spans="1:12">
      <c r="A790" s="71" t="s">
        <v>2164</v>
      </c>
      <c r="B790" s="71" t="s">
        <v>3259</v>
      </c>
      <c r="C790" s="71" t="s">
        <v>2109</v>
      </c>
      <c r="D790" s="71" t="s">
        <v>2165</v>
      </c>
      <c r="E790" s="72">
        <v>812000</v>
      </c>
      <c r="F790" s="73">
        <v>40330</v>
      </c>
      <c r="G790" s="74">
        <v>40407</v>
      </c>
      <c r="H790" s="75">
        <v>40413</v>
      </c>
      <c r="I790" s="71"/>
      <c r="J790" s="71"/>
      <c r="K790" s="71"/>
      <c r="L790" s="76"/>
    </row>
    <row r="791" spans="1:12">
      <c r="A791" s="71" t="s">
        <v>2166</v>
      </c>
      <c r="B791" s="71" t="s">
        <v>4128</v>
      </c>
      <c r="C791" s="71" t="s">
        <v>1616</v>
      </c>
      <c r="D791" s="71" t="s">
        <v>2167</v>
      </c>
      <c r="E791" s="72">
        <v>1198124.3</v>
      </c>
      <c r="F791" s="73">
        <v>40330</v>
      </c>
      <c r="G791" s="74">
        <v>40380</v>
      </c>
      <c r="H791" s="75">
        <v>40387</v>
      </c>
      <c r="I791" s="71"/>
      <c r="J791" s="71"/>
      <c r="K791" s="71"/>
      <c r="L791" s="76"/>
    </row>
    <row r="792" spans="1:12">
      <c r="A792" s="71" t="s">
        <v>2168</v>
      </c>
      <c r="B792" s="71" t="s">
        <v>4066</v>
      </c>
      <c r="C792" s="71"/>
      <c r="D792" s="71" t="s">
        <v>2169</v>
      </c>
      <c r="E792" s="72">
        <v>511280</v>
      </c>
      <c r="F792" s="73">
        <v>40359</v>
      </c>
      <c r="G792" s="74"/>
      <c r="H792" s="71"/>
      <c r="I792" s="71"/>
      <c r="J792" s="71"/>
      <c r="K792" s="71"/>
      <c r="L792" s="76"/>
    </row>
    <row r="793" spans="1:12">
      <c r="A793" s="71" t="s">
        <v>2170</v>
      </c>
      <c r="B793" s="71" t="s">
        <v>3259</v>
      </c>
      <c r="C793" s="71"/>
      <c r="D793" s="71" t="s">
        <v>2171</v>
      </c>
      <c r="E793" s="72">
        <v>17159295</v>
      </c>
      <c r="F793" s="73">
        <v>40330</v>
      </c>
      <c r="G793" s="74"/>
      <c r="H793" s="71"/>
      <c r="I793" s="71"/>
      <c r="J793" s="71"/>
      <c r="K793" s="71"/>
      <c r="L793" s="76"/>
    </row>
    <row r="794" spans="1:12">
      <c r="A794" s="71" t="s">
        <v>2172</v>
      </c>
      <c r="B794" s="71" t="s">
        <v>4062</v>
      </c>
      <c r="C794" s="71" t="s">
        <v>2173</v>
      </c>
      <c r="D794" s="71" t="s">
        <v>2174</v>
      </c>
      <c r="E794" s="72">
        <v>216000</v>
      </c>
      <c r="F794" s="73">
        <v>40324</v>
      </c>
      <c r="G794" s="74">
        <v>40353</v>
      </c>
      <c r="H794" s="75">
        <v>40354</v>
      </c>
      <c r="I794" s="71"/>
      <c r="J794" s="71"/>
      <c r="K794" s="71"/>
      <c r="L794" s="76"/>
    </row>
    <row r="795" spans="1:12">
      <c r="A795" s="71" t="s">
        <v>2175</v>
      </c>
      <c r="B795" s="71" t="s">
        <v>2176</v>
      </c>
      <c r="C795" s="71"/>
      <c r="D795" s="71" t="s">
        <v>1964</v>
      </c>
      <c r="E795" s="72">
        <v>1118000</v>
      </c>
      <c r="F795" s="73">
        <v>40345</v>
      </c>
      <c r="G795" s="74"/>
      <c r="H795" s="71"/>
      <c r="I795" s="71"/>
      <c r="J795" s="71"/>
      <c r="K795" s="71"/>
      <c r="L795" s="76"/>
    </row>
    <row r="796" spans="1:12">
      <c r="A796" s="71" t="s">
        <v>2177</v>
      </c>
      <c r="B796" s="71" t="s">
        <v>3259</v>
      </c>
      <c r="C796" s="71" t="s">
        <v>2178</v>
      </c>
      <c r="D796" s="71" t="s">
        <v>2179</v>
      </c>
      <c r="E796" s="72">
        <v>11880991.4</v>
      </c>
      <c r="F796" s="73">
        <v>40360</v>
      </c>
      <c r="G796" s="74">
        <v>40407</v>
      </c>
      <c r="H796" s="75">
        <v>40409</v>
      </c>
      <c r="I796" s="71"/>
      <c r="J796" s="71"/>
      <c r="K796" s="71"/>
      <c r="L796" s="76"/>
    </row>
    <row r="797" spans="1:12">
      <c r="A797" s="71" t="s">
        <v>2180</v>
      </c>
      <c r="B797" s="71" t="s">
        <v>4186</v>
      </c>
      <c r="C797" s="71" t="s">
        <v>1732</v>
      </c>
      <c r="D797" s="71" t="s">
        <v>2181</v>
      </c>
      <c r="E797" s="72">
        <v>141565</v>
      </c>
      <c r="F797" s="73">
        <v>40339</v>
      </c>
      <c r="G797" s="74">
        <v>40346</v>
      </c>
      <c r="H797" s="75">
        <v>40350</v>
      </c>
      <c r="I797" s="71"/>
      <c r="J797" s="71"/>
      <c r="K797" s="71"/>
      <c r="L797" s="76"/>
    </row>
    <row r="798" spans="1:12">
      <c r="A798" s="71" t="s">
        <v>2182</v>
      </c>
      <c r="B798" s="71" t="s">
        <v>3259</v>
      </c>
      <c r="C798" s="71" t="s">
        <v>2183</v>
      </c>
      <c r="D798" s="71" t="s">
        <v>2184</v>
      </c>
      <c r="E798" s="72">
        <v>1156354.57</v>
      </c>
      <c r="F798" s="73">
        <v>40134</v>
      </c>
      <c r="G798" s="74">
        <v>40140</v>
      </c>
      <c r="H798" s="75">
        <v>40311</v>
      </c>
      <c r="I798" s="71"/>
      <c r="J798" s="71"/>
      <c r="K798" s="71"/>
      <c r="L798" s="76"/>
    </row>
    <row r="799" spans="1:12">
      <c r="A799" s="71" t="s">
        <v>2185</v>
      </c>
      <c r="B799" s="71" t="s">
        <v>4062</v>
      </c>
      <c r="C799" s="71" t="s">
        <v>2980</v>
      </c>
      <c r="D799" s="71" t="s">
        <v>2186</v>
      </c>
      <c r="E799" s="72">
        <v>108646</v>
      </c>
      <c r="F799" s="73">
        <v>40344</v>
      </c>
      <c r="G799" s="74">
        <v>40353</v>
      </c>
      <c r="H799" s="75">
        <v>40354</v>
      </c>
      <c r="I799" s="71"/>
      <c r="J799" s="71"/>
      <c r="K799" s="71"/>
      <c r="L799" s="76"/>
    </row>
    <row r="800" spans="1:12">
      <c r="A800" s="71" t="s">
        <v>2187</v>
      </c>
      <c r="B800" s="71" t="s">
        <v>4062</v>
      </c>
      <c r="C800" s="71" t="s">
        <v>1708</v>
      </c>
      <c r="D800" s="71" t="s">
        <v>2188</v>
      </c>
      <c r="E800" s="72">
        <v>260570</v>
      </c>
      <c r="F800" s="73">
        <v>40344</v>
      </c>
      <c r="G800" s="74">
        <v>40353</v>
      </c>
      <c r="H800" s="75">
        <v>40354</v>
      </c>
      <c r="I800" s="71"/>
      <c r="J800" s="71"/>
      <c r="K800" s="71"/>
      <c r="L800" s="76"/>
    </row>
    <row r="801" spans="1:12">
      <c r="A801" s="71" t="s">
        <v>2189</v>
      </c>
      <c r="B801" s="71" t="s">
        <v>3188</v>
      </c>
      <c r="C801" s="71"/>
      <c r="D801" s="71" t="s">
        <v>2190</v>
      </c>
      <c r="E801" s="72">
        <v>100000</v>
      </c>
      <c r="F801" s="73">
        <v>40322</v>
      </c>
      <c r="G801" s="74"/>
      <c r="H801" s="71"/>
      <c r="I801" s="71"/>
      <c r="J801" s="71"/>
      <c r="K801" s="71"/>
      <c r="L801" s="76"/>
    </row>
    <row r="802" spans="1:12">
      <c r="A802" s="71" t="s">
        <v>2191</v>
      </c>
      <c r="B802" s="71" t="s">
        <v>4128</v>
      </c>
      <c r="C802" s="71" t="s">
        <v>2192</v>
      </c>
      <c r="D802" s="71" t="s">
        <v>2193</v>
      </c>
      <c r="E802" s="72">
        <v>1274500</v>
      </c>
      <c r="F802" s="73">
        <v>40343</v>
      </c>
      <c r="G802" s="74">
        <v>40380</v>
      </c>
      <c r="H802" s="75">
        <v>40381</v>
      </c>
      <c r="I802" s="71"/>
      <c r="J802" s="71"/>
      <c r="K802" s="71"/>
      <c r="L802" s="76"/>
    </row>
    <row r="803" spans="1:12">
      <c r="A803" s="71" t="s">
        <v>2194</v>
      </c>
      <c r="B803" s="71" t="s">
        <v>3259</v>
      </c>
      <c r="C803" s="71" t="s">
        <v>2195</v>
      </c>
      <c r="D803" s="71" t="s">
        <v>2196</v>
      </c>
      <c r="E803" s="72">
        <v>229031</v>
      </c>
      <c r="F803" s="73">
        <v>40330</v>
      </c>
      <c r="G803" s="74">
        <v>40408</v>
      </c>
      <c r="H803" s="75">
        <v>40413</v>
      </c>
      <c r="I803" s="71"/>
      <c r="J803" s="71"/>
      <c r="K803" s="71"/>
      <c r="L803" s="76"/>
    </row>
    <row r="804" spans="1:12">
      <c r="A804" s="71" t="s">
        <v>2197</v>
      </c>
      <c r="B804" s="71" t="s">
        <v>4128</v>
      </c>
      <c r="C804" s="71" t="s">
        <v>2760</v>
      </c>
      <c r="D804" s="71" t="s">
        <v>2198</v>
      </c>
      <c r="E804" s="72">
        <v>1495595</v>
      </c>
      <c r="F804" s="73">
        <v>40364</v>
      </c>
      <c r="G804" s="74">
        <v>40408</v>
      </c>
      <c r="H804" s="75">
        <v>40410</v>
      </c>
      <c r="I804" s="71"/>
      <c r="J804" s="71"/>
      <c r="K804" s="71"/>
      <c r="L804" s="76"/>
    </row>
    <row r="805" spans="1:12">
      <c r="A805" s="71" t="s">
        <v>2199</v>
      </c>
      <c r="B805" s="71" t="s">
        <v>4137</v>
      </c>
      <c r="C805" s="71"/>
      <c r="D805" s="71" t="s">
        <v>2200</v>
      </c>
      <c r="E805" s="72">
        <v>100000</v>
      </c>
      <c r="F805" s="73">
        <v>40302</v>
      </c>
      <c r="G805" s="74"/>
      <c r="H805" s="71"/>
      <c r="I805" s="71"/>
      <c r="J805" s="71"/>
      <c r="K805" s="71"/>
      <c r="L805" s="76"/>
    </row>
    <row r="806" spans="1:12">
      <c r="A806" s="71" t="s">
        <v>2201</v>
      </c>
      <c r="B806" s="71" t="s">
        <v>3148</v>
      </c>
      <c r="C806" s="71" t="s">
        <v>1599</v>
      </c>
      <c r="D806" s="71" t="s">
        <v>2202</v>
      </c>
      <c r="E806" s="72">
        <v>196436</v>
      </c>
      <c r="F806" s="73">
        <v>40322</v>
      </c>
      <c r="G806" s="74">
        <v>40395</v>
      </c>
      <c r="H806" s="75">
        <v>40399</v>
      </c>
      <c r="I806" s="71"/>
      <c r="J806" s="71"/>
      <c r="K806" s="71"/>
      <c r="L806" s="76"/>
    </row>
    <row r="807" spans="1:12">
      <c r="A807" s="71" t="s">
        <v>2203</v>
      </c>
      <c r="B807" s="71" t="s">
        <v>3259</v>
      </c>
      <c r="C807" s="71"/>
      <c r="D807" s="71" t="s">
        <v>2204</v>
      </c>
      <c r="E807" s="72">
        <v>9478000</v>
      </c>
      <c r="F807" s="73">
        <v>40299</v>
      </c>
      <c r="G807" s="74"/>
      <c r="H807" s="71"/>
      <c r="I807" s="71"/>
      <c r="J807" s="71"/>
      <c r="K807" s="71"/>
      <c r="L807" s="76"/>
    </row>
    <row r="808" spans="1:12">
      <c r="A808" s="71" t="s">
        <v>2205</v>
      </c>
      <c r="B808" s="71" t="s">
        <v>4128</v>
      </c>
      <c r="C808" s="71" t="s">
        <v>2178</v>
      </c>
      <c r="D808" s="71" t="s">
        <v>4195</v>
      </c>
      <c r="E808" s="72">
        <v>24975369.5</v>
      </c>
      <c r="F808" s="73">
        <v>40374</v>
      </c>
      <c r="G808" s="74">
        <v>40436</v>
      </c>
      <c r="H808" s="75">
        <v>40437</v>
      </c>
      <c r="I808" s="71"/>
      <c r="J808" s="71"/>
      <c r="K808" s="71"/>
      <c r="L808" s="76"/>
    </row>
    <row r="809" spans="1:12">
      <c r="A809" s="71" t="s">
        <v>4196</v>
      </c>
      <c r="B809" s="71" t="s">
        <v>4128</v>
      </c>
      <c r="C809" s="71"/>
      <c r="D809" s="71" t="s">
        <v>2213</v>
      </c>
      <c r="E809" s="72">
        <v>300000</v>
      </c>
      <c r="F809" s="73">
        <v>40357</v>
      </c>
      <c r="G809" s="74"/>
      <c r="H809" s="71"/>
      <c r="I809" s="71"/>
      <c r="J809" s="71"/>
      <c r="K809" s="71"/>
      <c r="L809" s="76"/>
    </row>
    <row r="810" spans="1:12">
      <c r="A810" s="71" t="s">
        <v>2214</v>
      </c>
      <c r="B810" s="71" t="s">
        <v>2724</v>
      </c>
      <c r="C810" s="71"/>
      <c r="D810" s="71" t="s">
        <v>2215</v>
      </c>
      <c r="E810" s="72">
        <v>10000000</v>
      </c>
      <c r="F810" s="73">
        <v>40359</v>
      </c>
      <c r="G810" s="74"/>
      <c r="H810" s="71"/>
      <c r="I810" s="71"/>
      <c r="J810" s="71"/>
      <c r="K810" s="71"/>
      <c r="L810" s="76"/>
    </row>
    <row r="811" spans="1:12">
      <c r="A811" s="71" t="s">
        <v>2216</v>
      </c>
      <c r="B811" s="71" t="s">
        <v>4062</v>
      </c>
      <c r="C811" s="71" t="s">
        <v>2217</v>
      </c>
      <c r="D811" s="71" t="s">
        <v>2218</v>
      </c>
      <c r="E811" s="72">
        <v>663200</v>
      </c>
      <c r="F811" s="73">
        <v>40346</v>
      </c>
      <c r="G811" s="74">
        <v>40353</v>
      </c>
      <c r="H811" s="75">
        <v>40354</v>
      </c>
      <c r="I811" s="71"/>
      <c r="J811" s="71"/>
      <c r="K811" s="71"/>
      <c r="L811" s="76"/>
    </row>
    <row r="812" spans="1:12">
      <c r="A812" s="71" t="s">
        <v>2219</v>
      </c>
      <c r="B812" s="71" t="s">
        <v>4128</v>
      </c>
      <c r="C812" s="71"/>
      <c r="D812" s="71" t="s">
        <v>2221</v>
      </c>
      <c r="E812" s="72">
        <v>220000</v>
      </c>
      <c r="F812" s="73">
        <v>40360</v>
      </c>
      <c r="G812" s="74"/>
      <c r="H812" s="71"/>
      <c r="I812" s="71"/>
      <c r="J812" s="71"/>
      <c r="K812" s="71"/>
      <c r="L812" s="76"/>
    </row>
    <row r="813" spans="1:12">
      <c r="A813" s="94">
        <v>40330</v>
      </c>
      <c r="B813" s="71"/>
      <c r="C813" s="71"/>
      <c r="D813" s="71"/>
      <c r="E813" s="72"/>
      <c r="F813" s="73"/>
      <c r="G813" s="74"/>
      <c r="H813" s="71"/>
      <c r="I813" s="71"/>
      <c r="J813" s="71"/>
      <c r="K813" s="71"/>
      <c r="L813" s="76"/>
    </row>
    <row r="814" spans="1:12">
      <c r="A814" s="71" t="s">
        <v>2222</v>
      </c>
      <c r="B814" s="71" t="s">
        <v>3259</v>
      </c>
      <c r="C814" s="71"/>
      <c r="D814" s="71" t="s">
        <v>2223</v>
      </c>
      <c r="E814" s="72">
        <v>737000</v>
      </c>
      <c r="F814" s="73">
        <v>40360</v>
      </c>
      <c r="G814" s="74"/>
      <c r="H814" s="71"/>
      <c r="I814" s="71"/>
      <c r="J814" s="71"/>
      <c r="K814" s="71"/>
      <c r="L814" s="76"/>
    </row>
    <row r="815" spans="1:12">
      <c r="A815" s="71" t="s">
        <v>2224</v>
      </c>
      <c r="B815" s="71" t="s">
        <v>4066</v>
      </c>
      <c r="C815" s="71" t="s">
        <v>1966</v>
      </c>
      <c r="D815" s="71" t="s">
        <v>2225</v>
      </c>
      <c r="E815" s="72">
        <v>872275</v>
      </c>
      <c r="F815" s="73">
        <v>40358</v>
      </c>
      <c r="G815" s="74">
        <v>40400</v>
      </c>
      <c r="H815" s="75">
        <v>40409</v>
      </c>
      <c r="I815" s="71"/>
      <c r="J815" s="71"/>
      <c r="K815" s="71"/>
      <c r="L815" s="76"/>
    </row>
    <row r="816" spans="1:12">
      <c r="A816" s="71" t="s">
        <v>2226</v>
      </c>
      <c r="B816" s="71" t="s">
        <v>4128</v>
      </c>
      <c r="C816" s="71" t="s">
        <v>1831</v>
      </c>
      <c r="D816" s="71" t="s">
        <v>2227</v>
      </c>
      <c r="E816" s="72">
        <v>100000</v>
      </c>
      <c r="F816" s="73">
        <v>40360</v>
      </c>
      <c r="G816" s="74"/>
      <c r="H816" s="71"/>
      <c r="I816" s="71"/>
      <c r="J816" s="71"/>
      <c r="K816" s="71"/>
      <c r="L816" s="76"/>
    </row>
    <row r="817" spans="1:12">
      <c r="A817" s="71" t="s">
        <v>2228</v>
      </c>
      <c r="B817" s="71" t="s">
        <v>4128</v>
      </c>
      <c r="C817" s="71" t="s">
        <v>2229</v>
      </c>
      <c r="D817" s="71" t="s">
        <v>2230</v>
      </c>
      <c r="E817" s="72">
        <v>212809</v>
      </c>
      <c r="F817" s="73">
        <v>40360</v>
      </c>
      <c r="G817" s="74">
        <v>40374</v>
      </c>
      <c r="H817" s="75">
        <v>40375</v>
      </c>
      <c r="I817" s="71"/>
      <c r="J817" s="71"/>
      <c r="K817" s="71"/>
      <c r="L817" s="76"/>
    </row>
    <row r="818" spans="1:12">
      <c r="A818" s="71" t="s">
        <v>2231</v>
      </c>
      <c r="B818" s="71" t="s">
        <v>4069</v>
      </c>
      <c r="C818" s="71" t="s">
        <v>1947</v>
      </c>
      <c r="D818" s="71" t="s">
        <v>2232</v>
      </c>
      <c r="E818" s="72">
        <v>694800</v>
      </c>
      <c r="F818" s="73">
        <v>40360</v>
      </c>
      <c r="G818" s="74">
        <v>40408</v>
      </c>
      <c r="H818" s="75">
        <v>40410</v>
      </c>
      <c r="I818" s="71"/>
      <c r="J818" s="71"/>
      <c r="K818" s="71"/>
      <c r="L818" s="76"/>
    </row>
    <row r="819" spans="1:12">
      <c r="A819" s="71" t="s">
        <v>2233</v>
      </c>
      <c r="B819" s="71" t="s">
        <v>3259</v>
      </c>
      <c r="C819" s="71" t="s">
        <v>2234</v>
      </c>
      <c r="D819" s="71" t="s">
        <v>2235</v>
      </c>
      <c r="E819" s="72">
        <v>250000</v>
      </c>
      <c r="F819" s="73">
        <v>40330</v>
      </c>
      <c r="G819" s="74">
        <v>40393</v>
      </c>
      <c r="H819" s="75">
        <v>40396</v>
      </c>
      <c r="I819" s="71"/>
      <c r="J819" s="71"/>
      <c r="K819" s="71"/>
      <c r="L819" s="76"/>
    </row>
    <row r="820" spans="1:12">
      <c r="A820" s="71" t="s">
        <v>2236</v>
      </c>
      <c r="B820" s="71" t="s">
        <v>4066</v>
      </c>
      <c r="C820" s="71"/>
      <c r="D820" s="71" t="s">
        <v>2237</v>
      </c>
      <c r="E820" s="72">
        <v>620000</v>
      </c>
      <c r="F820" s="73">
        <v>40358</v>
      </c>
      <c r="G820" s="74"/>
      <c r="H820" s="71"/>
      <c r="I820" s="71"/>
      <c r="J820" s="71"/>
      <c r="K820" s="71"/>
      <c r="L820" s="76"/>
    </row>
    <row r="821" spans="1:12">
      <c r="A821" s="71" t="s">
        <v>2238</v>
      </c>
      <c r="B821" s="71" t="s">
        <v>4066</v>
      </c>
      <c r="C821" s="71" t="s">
        <v>2239</v>
      </c>
      <c r="D821" s="71" t="s">
        <v>2240</v>
      </c>
      <c r="E821" s="72">
        <v>381763.45</v>
      </c>
      <c r="F821" s="73">
        <v>40360</v>
      </c>
      <c r="G821" s="74">
        <v>40400</v>
      </c>
      <c r="H821" s="75">
        <v>40401</v>
      </c>
      <c r="I821" s="71"/>
      <c r="J821" s="71"/>
      <c r="K821" s="71"/>
      <c r="L821" s="76"/>
    </row>
    <row r="822" spans="1:12">
      <c r="A822" s="71" t="s">
        <v>2241</v>
      </c>
      <c r="B822" s="71" t="s">
        <v>4186</v>
      </c>
      <c r="C822" s="71" t="s">
        <v>2050</v>
      </c>
      <c r="D822" s="71" t="s">
        <v>2242</v>
      </c>
      <c r="E822" s="72">
        <v>344890</v>
      </c>
      <c r="F822" s="73">
        <v>40365</v>
      </c>
      <c r="G822" s="74">
        <v>40380</v>
      </c>
      <c r="H822" s="75">
        <v>40392</v>
      </c>
      <c r="I822" s="71"/>
      <c r="J822" s="71"/>
      <c r="K822" s="71"/>
      <c r="L822" s="76"/>
    </row>
    <row r="823" spans="1:12">
      <c r="A823" s="71" t="s">
        <v>2243</v>
      </c>
      <c r="B823" s="71" t="s">
        <v>2244</v>
      </c>
      <c r="C823" s="71" t="s">
        <v>2245</v>
      </c>
      <c r="D823" s="71" t="s">
        <v>2246</v>
      </c>
      <c r="E823" s="72">
        <v>1303277.55</v>
      </c>
      <c r="F823" s="73">
        <v>40360</v>
      </c>
      <c r="G823" s="74">
        <v>40393</v>
      </c>
      <c r="H823" s="75">
        <v>40399</v>
      </c>
      <c r="I823" s="71"/>
      <c r="J823" s="71"/>
      <c r="K823" s="71"/>
      <c r="L823" s="76"/>
    </row>
    <row r="824" spans="1:12">
      <c r="A824" s="71" t="s">
        <v>2247</v>
      </c>
      <c r="B824" s="71" t="s">
        <v>2244</v>
      </c>
      <c r="C824" s="71"/>
      <c r="D824" s="71" t="s">
        <v>2248</v>
      </c>
      <c r="E824" s="72">
        <v>230000</v>
      </c>
      <c r="F824" s="73">
        <v>40360</v>
      </c>
      <c r="G824" s="74"/>
      <c r="H824" s="71"/>
      <c r="I824" s="71"/>
      <c r="J824" s="71"/>
      <c r="K824" s="71"/>
      <c r="L824" s="76"/>
    </row>
    <row r="825" spans="1:12">
      <c r="A825" s="71" t="s">
        <v>2249</v>
      </c>
      <c r="B825" s="71" t="s">
        <v>2244</v>
      </c>
      <c r="C825" s="71"/>
      <c r="D825" s="71" t="s">
        <v>2250</v>
      </c>
      <c r="E825" s="72">
        <v>432000</v>
      </c>
      <c r="F825" s="73">
        <v>40360</v>
      </c>
      <c r="G825" s="74"/>
      <c r="H825" s="71"/>
      <c r="I825" s="71"/>
      <c r="J825" s="71"/>
      <c r="K825" s="71"/>
      <c r="L825" s="76"/>
    </row>
    <row r="826" spans="1:12">
      <c r="A826" s="71" t="s">
        <v>2251</v>
      </c>
      <c r="B826" s="71" t="s">
        <v>4069</v>
      </c>
      <c r="C826" s="71" t="s">
        <v>1662</v>
      </c>
      <c r="D826" s="71" t="s">
        <v>2252</v>
      </c>
      <c r="E826" s="72">
        <v>211774.45</v>
      </c>
      <c r="F826" s="73">
        <v>40391</v>
      </c>
      <c r="G826" s="74">
        <v>40407</v>
      </c>
      <c r="H826" s="75">
        <v>40435</v>
      </c>
      <c r="I826" s="71"/>
      <c r="J826" s="71"/>
      <c r="K826" s="71"/>
      <c r="L826" s="76"/>
    </row>
    <row r="827" spans="1:12">
      <c r="A827" s="71" t="s">
        <v>2253</v>
      </c>
      <c r="B827" s="71" t="s">
        <v>2244</v>
      </c>
      <c r="C827" s="71"/>
      <c r="D827" s="71" t="s">
        <v>2254</v>
      </c>
      <c r="E827" s="72">
        <v>20000000</v>
      </c>
      <c r="F827" s="73">
        <v>40354</v>
      </c>
      <c r="G827" s="74"/>
      <c r="H827" s="71"/>
      <c r="I827" s="71"/>
      <c r="J827" s="71"/>
      <c r="K827" s="71"/>
      <c r="L827" s="76"/>
    </row>
    <row r="828" spans="1:12">
      <c r="A828" s="71" t="s">
        <v>2255</v>
      </c>
      <c r="B828" s="71" t="s">
        <v>4186</v>
      </c>
      <c r="C828" s="71" t="s">
        <v>2195</v>
      </c>
      <c r="D828" s="71" t="s">
        <v>2256</v>
      </c>
      <c r="E828" s="72">
        <v>264184</v>
      </c>
      <c r="F828" s="73">
        <v>40374</v>
      </c>
      <c r="G828" s="74">
        <v>40387</v>
      </c>
      <c r="H828" s="75">
        <v>40387</v>
      </c>
      <c r="I828" s="71"/>
      <c r="J828" s="71"/>
      <c r="K828" s="71"/>
      <c r="L828" s="76"/>
    </row>
    <row r="829" spans="1:12">
      <c r="A829" s="71" t="s">
        <v>2257</v>
      </c>
      <c r="B829" s="71" t="s">
        <v>4062</v>
      </c>
      <c r="C829" s="71"/>
      <c r="D829" s="71" t="s">
        <v>2258</v>
      </c>
      <c r="E829" s="72">
        <v>420000</v>
      </c>
      <c r="F829" s="73">
        <v>40360</v>
      </c>
      <c r="G829" s="74"/>
      <c r="H829" s="71"/>
      <c r="I829" s="71"/>
      <c r="J829" s="71"/>
      <c r="K829" s="71"/>
      <c r="L829" s="76"/>
    </row>
    <row r="830" spans="1:12">
      <c r="A830" s="71" t="s">
        <v>2259</v>
      </c>
      <c r="B830" s="71" t="s">
        <v>4128</v>
      </c>
      <c r="C830" s="71" t="s">
        <v>1718</v>
      </c>
      <c r="D830" s="71" t="s">
        <v>2260</v>
      </c>
      <c r="E830" s="72">
        <v>4889440.75</v>
      </c>
      <c r="F830" s="73">
        <v>40360</v>
      </c>
      <c r="G830" s="74">
        <v>40436</v>
      </c>
      <c r="H830" s="75">
        <v>40437</v>
      </c>
      <c r="I830" s="71"/>
      <c r="J830" s="71"/>
      <c r="K830" s="71"/>
      <c r="L830" s="76"/>
    </row>
    <row r="831" spans="1:12">
      <c r="A831" s="71" t="s">
        <v>2261</v>
      </c>
      <c r="B831" s="71" t="s">
        <v>4069</v>
      </c>
      <c r="C831" s="71" t="s">
        <v>2262</v>
      </c>
      <c r="D831" s="71" t="s">
        <v>2263</v>
      </c>
      <c r="E831" s="72">
        <v>137196.17000000001</v>
      </c>
      <c r="F831" s="73">
        <v>40360</v>
      </c>
      <c r="G831" s="74">
        <v>40367</v>
      </c>
      <c r="H831" s="75">
        <v>40389</v>
      </c>
      <c r="I831" s="71"/>
      <c r="J831" s="71"/>
      <c r="K831" s="71"/>
      <c r="L831" s="76"/>
    </row>
    <row r="832" spans="1:12">
      <c r="A832" s="71" t="s">
        <v>2264</v>
      </c>
      <c r="B832" s="71" t="s">
        <v>4186</v>
      </c>
      <c r="C832" s="71" t="s">
        <v>2265</v>
      </c>
      <c r="D832" s="71" t="s">
        <v>2266</v>
      </c>
      <c r="E832" s="72">
        <v>348406</v>
      </c>
      <c r="F832" s="75">
        <v>40339</v>
      </c>
      <c r="G832" s="74">
        <v>40386</v>
      </c>
      <c r="H832" s="75">
        <v>40388</v>
      </c>
      <c r="I832" s="71"/>
      <c r="J832" s="71"/>
      <c r="K832" s="71"/>
      <c r="L832" s="76"/>
    </row>
    <row r="833" spans="1:12">
      <c r="A833" s="71" t="s">
        <v>2267</v>
      </c>
      <c r="B833" s="71" t="s">
        <v>4062</v>
      </c>
      <c r="C833" s="71"/>
      <c r="D833" s="71" t="s">
        <v>2268</v>
      </c>
      <c r="E833" s="72">
        <v>350000</v>
      </c>
      <c r="F833" s="73">
        <v>40374</v>
      </c>
      <c r="G833" s="74"/>
      <c r="H833" s="71"/>
      <c r="I833" s="71"/>
      <c r="J833" s="71"/>
      <c r="K833" s="71"/>
      <c r="L833" s="76"/>
    </row>
    <row r="834" spans="1:12" ht="22.5">
      <c r="A834" s="71" t="s">
        <v>2269</v>
      </c>
      <c r="B834" s="71" t="s">
        <v>4147</v>
      </c>
      <c r="C834" s="71"/>
      <c r="D834" s="71" t="s">
        <v>2270</v>
      </c>
      <c r="E834" s="72">
        <v>450000</v>
      </c>
      <c r="F834" s="73">
        <v>40373</v>
      </c>
      <c r="G834" s="74"/>
      <c r="H834" s="71"/>
      <c r="I834" s="71"/>
      <c r="J834" s="71"/>
      <c r="K834" s="71"/>
      <c r="L834" s="76"/>
    </row>
    <row r="835" spans="1:12">
      <c r="A835" s="71" t="s">
        <v>2271</v>
      </c>
      <c r="B835" s="71" t="s">
        <v>4069</v>
      </c>
      <c r="C835" s="71"/>
      <c r="D835" s="71" t="s">
        <v>2272</v>
      </c>
      <c r="E835" s="72">
        <v>150000</v>
      </c>
      <c r="F835" s="73">
        <v>40343</v>
      </c>
      <c r="G835" s="74"/>
      <c r="H835" s="71"/>
      <c r="I835" s="71"/>
      <c r="J835" s="71"/>
      <c r="K835" s="71"/>
      <c r="L835" s="76"/>
    </row>
    <row r="836" spans="1:12">
      <c r="A836" s="71" t="s">
        <v>2273</v>
      </c>
      <c r="B836" s="71" t="s">
        <v>4069</v>
      </c>
      <c r="C836" s="71"/>
      <c r="D836" s="71" t="s">
        <v>2274</v>
      </c>
      <c r="E836" s="72">
        <v>195000</v>
      </c>
      <c r="F836" s="73">
        <v>40380</v>
      </c>
      <c r="G836" s="74"/>
      <c r="H836" s="71"/>
      <c r="I836" s="71"/>
      <c r="J836" s="71"/>
      <c r="K836" s="71"/>
      <c r="L836" s="76"/>
    </row>
    <row r="837" spans="1:12">
      <c r="A837" s="71" t="s">
        <v>2275</v>
      </c>
      <c r="B837" s="71" t="s">
        <v>4147</v>
      </c>
      <c r="C837" s="71"/>
      <c r="D837" s="71" t="s">
        <v>2276</v>
      </c>
      <c r="E837" s="72">
        <v>350000</v>
      </c>
      <c r="F837" s="73">
        <v>40387</v>
      </c>
      <c r="G837" s="74"/>
      <c r="H837" s="71"/>
      <c r="I837" s="71"/>
      <c r="J837" s="71"/>
      <c r="K837" s="71"/>
      <c r="L837" s="76"/>
    </row>
    <row r="838" spans="1:12">
      <c r="A838" s="71" t="s">
        <v>2277</v>
      </c>
      <c r="B838" s="71" t="s">
        <v>4069</v>
      </c>
      <c r="C838" s="71"/>
      <c r="D838" s="71" t="s">
        <v>2278</v>
      </c>
      <c r="E838" s="72">
        <v>1000000</v>
      </c>
      <c r="F838" s="73">
        <v>40360</v>
      </c>
      <c r="G838" s="74"/>
      <c r="H838" s="71"/>
      <c r="I838" s="71"/>
      <c r="J838" s="71"/>
      <c r="K838" s="71"/>
      <c r="L838" s="76"/>
    </row>
    <row r="839" spans="1:12">
      <c r="A839" s="71" t="s">
        <v>2279</v>
      </c>
      <c r="B839" s="71" t="s">
        <v>4069</v>
      </c>
      <c r="C839" s="71" t="s">
        <v>2280</v>
      </c>
      <c r="D839" s="71" t="s">
        <v>2281</v>
      </c>
      <c r="E839" s="72">
        <v>128336</v>
      </c>
      <c r="F839" s="73">
        <v>40360</v>
      </c>
      <c r="G839" s="74">
        <v>40367</v>
      </c>
      <c r="H839" s="75">
        <v>40410</v>
      </c>
      <c r="I839" s="71"/>
      <c r="J839" s="71"/>
      <c r="K839" s="71"/>
      <c r="L839" s="76"/>
    </row>
    <row r="840" spans="1:12">
      <c r="A840" s="71" t="s">
        <v>2282</v>
      </c>
      <c r="B840" s="71" t="s">
        <v>4066</v>
      </c>
      <c r="C840" s="71"/>
      <c r="D840" s="71" t="s">
        <v>2283</v>
      </c>
      <c r="E840" s="72">
        <v>869320</v>
      </c>
      <c r="F840" s="73">
        <v>40401</v>
      </c>
      <c r="G840" s="74"/>
      <c r="H840" s="71"/>
      <c r="I840" s="71"/>
      <c r="J840" s="71"/>
      <c r="K840" s="71"/>
      <c r="L840" s="76"/>
    </row>
    <row r="841" spans="1:12">
      <c r="A841" s="71" t="s">
        <v>2284</v>
      </c>
      <c r="B841" s="71" t="s">
        <v>3259</v>
      </c>
      <c r="C841" s="71" t="s">
        <v>2285</v>
      </c>
      <c r="D841" s="71" t="s">
        <v>2286</v>
      </c>
      <c r="E841" s="72">
        <v>801741</v>
      </c>
      <c r="F841" s="73">
        <v>40360</v>
      </c>
      <c r="G841" s="74">
        <v>40407</v>
      </c>
      <c r="H841" s="75">
        <v>40408</v>
      </c>
      <c r="I841" s="71"/>
      <c r="J841" s="71"/>
      <c r="K841" s="71"/>
      <c r="L841" s="76"/>
    </row>
    <row r="842" spans="1:12">
      <c r="A842" s="71" t="s">
        <v>2287</v>
      </c>
      <c r="B842" s="71" t="s">
        <v>3481</v>
      </c>
      <c r="C842" s="71"/>
      <c r="D842" s="71" t="s">
        <v>2288</v>
      </c>
      <c r="E842" s="72">
        <v>1028059</v>
      </c>
      <c r="F842" s="73">
        <v>40360</v>
      </c>
      <c r="G842" s="74"/>
      <c r="H842" s="71"/>
      <c r="I842" s="71"/>
      <c r="J842" s="71"/>
      <c r="K842" s="71"/>
      <c r="L842" s="76"/>
    </row>
    <row r="843" spans="1:12">
      <c r="A843" s="71" t="s">
        <v>2289</v>
      </c>
      <c r="B843" s="71" t="s">
        <v>4137</v>
      </c>
      <c r="C843" s="71"/>
      <c r="D843" s="71" t="s">
        <v>2290</v>
      </c>
      <c r="E843" s="72">
        <v>100000</v>
      </c>
      <c r="F843" s="73">
        <v>40375</v>
      </c>
      <c r="G843" s="74"/>
      <c r="H843" s="71"/>
      <c r="I843" s="71"/>
      <c r="J843" s="71"/>
      <c r="K843" s="71"/>
      <c r="L843" s="76"/>
    </row>
    <row r="844" spans="1:12">
      <c r="A844" s="71" t="s">
        <v>2291</v>
      </c>
      <c r="B844" s="71" t="s">
        <v>1611</v>
      </c>
      <c r="C844" s="71"/>
      <c r="D844" s="71" t="s">
        <v>2292</v>
      </c>
      <c r="E844" s="72">
        <v>4100000</v>
      </c>
      <c r="F844" s="73">
        <v>40465</v>
      </c>
      <c r="G844" s="74"/>
      <c r="H844" s="71"/>
      <c r="I844" s="71"/>
      <c r="J844" s="71"/>
      <c r="K844" s="71"/>
      <c r="L844" s="76"/>
    </row>
    <row r="845" spans="1:12">
      <c r="A845" s="71" t="s">
        <v>2293</v>
      </c>
      <c r="B845" s="71" t="s">
        <v>4128</v>
      </c>
      <c r="C845" s="71"/>
      <c r="D845" s="71" t="s">
        <v>2294</v>
      </c>
      <c r="E845" s="72">
        <v>240000</v>
      </c>
      <c r="F845" s="73">
        <v>40371</v>
      </c>
      <c r="G845" s="74"/>
      <c r="H845" s="71"/>
      <c r="I845" s="71"/>
      <c r="J845" s="71"/>
      <c r="K845" s="71"/>
      <c r="L845" s="76"/>
    </row>
    <row r="846" spans="1:12">
      <c r="A846" s="71" t="s">
        <v>2295</v>
      </c>
      <c r="B846" s="71" t="s">
        <v>3259</v>
      </c>
      <c r="C846" s="71" t="s">
        <v>2296</v>
      </c>
      <c r="D846" s="71" t="s">
        <v>2297</v>
      </c>
      <c r="E846" s="72">
        <v>430871.26</v>
      </c>
      <c r="F846" s="73">
        <v>40360</v>
      </c>
      <c r="G846" s="74">
        <v>40407</v>
      </c>
      <c r="H846" s="75">
        <v>40409</v>
      </c>
      <c r="I846" s="71"/>
      <c r="J846" s="71"/>
      <c r="K846" s="71"/>
      <c r="L846" s="76"/>
    </row>
    <row r="847" spans="1:12">
      <c r="A847" s="71" t="s">
        <v>2298</v>
      </c>
      <c r="B847" s="71" t="s">
        <v>4128</v>
      </c>
      <c r="C847" s="71"/>
      <c r="D847" s="71" t="s">
        <v>2299</v>
      </c>
      <c r="E847" s="72">
        <v>3533492</v>
      </c>
      <c r="F847" s="73">
        <v>40378</v>
      </c>
      <c r="G847" s="74"/>
      <c r="H847" s="71"/>
      <c r="I847" s="71"/>
      <c r="J847" s="71"/>
      <c r="K847" s="71"/>
      <c r="L847" s="76"/>
    </row>
    <row r="848" spans="1:12">
      <c r="A848" s="71" t="s">
        <v>2300</v>
      </c>
      <c r="B848" s="71" t="s">
        <v>2631</v>
      </c>
      <c r="C848" s="71" t="s">
        <v>2980</v>
      </c>
      <c r="D848" s="71" t="s">
        <v>2301</v>
      </c>
      <c r="E848" s="72">
        <v>429283</v>
      </c>
      <c r="F848" s="73">
        <v>40333</v>
      </c>
      <c r="G848" s="74">
        <v>40333</v>
      </c>
      <c r="H848" s="75">
        <v>40354</v>
      </c>
      <c r="I848" s="71"/>
      <c r="J848" s="71"/>
      <c r="K848" s="71"/>
      <c r="L848" s="76"/>
    </row>
    <row r="849" spans="1:12">
      <c r="A849" s="71" t="s">
        <v>2302</v>
      </c>
      <c r="B849" s="71" t="s">
        <v>4062</v>
      </c>
      <c r="C849" s="71" t="s">
        <v>2303</v>
      </c>
      <c r="D849" s="71" t="s">
        <v>2304</v>
      </c>
      <c r="E849" s="72">
        <v>212764</v>
      </c>
      <c r="F849" s="73">
        <v>40409</v>
      </c>
      <c r="G849" s="74">
        <v>40416</v>
      </c>
      <c r="H849" s="75">
        <v>40417</v>
      </c>
      <c r="I849" s="71"/>
      <c r="J849" s="71"/>
      <c r="K849" s="71"/>
      <c r="L849" s="76"/>
    </row>
    <row r="850" spans="1:12">
      <c r="A850" s="71" t="s">
        <v>2305</v>
      </c>
      <c r="B850" s="71" t="s">
        <v>3259</v>
      </c>
      <c r="C850" s="71"/>
      <c r="D850" s="71" t="s">
        <v>2306</v>
      </c>
      <c r="E850" s="72">
        <v>450000</v>
      </c>
      <c r="F850" s="73">
        <v>40360</v>
      </c>
      <c r="G850" s="74"/>
      <c r="H850" s="71"/>
      <c r="I850" s="71"/>
      <c r="J850" s="71"/>
      <c r="K850" s="71"/>
      <c r="L850" s="76"/>
    </row>
    <row r="851" spans="1:12">
      <c r="A851" s="71" t="s">
        <v>2307</v>
      </c>
      <c r="B851" s="71" t="s">
        <v>3259</v>
      </c>
      <c r="C851" s="71"/>
      <c r="D851" s="71" t="s">
        <v>2308</v>
      </c>
      <c r="E851" s="72">
        <v>500000</v>
      </c>
      <c r="F851" s="73">
        <v>40360</v>
      </c>
      <c r="G851" s="74"/>
      <c r="H851" s="71"/>
      <c r="I851" s="71"/>
      <c r="J851" s="71"/>
      <c r="K851" s="71"/>
      <c r="L851" s="76"/>
    </row>
    <row r="852" spans="1:12">
      <c r="A852" s="94">
        <v>40360</v>
      </c>
      <c r="B852" s="71"/>
      <c r="C852" s="71"/>
      <c r="D852" s="71"/>
      <c r="E852" s="72"/>
      <c r="F852" s="73"/>
      <c r="G852" s="74"/>
      <c r="H852" s="71"/>
      <c r="I852" s="71"/>
      <c r="J852" s="71"/>
      <c r="K852" s="71"/>
      <c r="L852" s="76"/>
    </row>
    <row r="853" spans="1:12">
      <c r="A853" s="71" t="s">
        <v>2309</v>
      </c>
      <c r="B853" s="71" t="s">
        <v>4341</v>
      </c>
      <c r="C853" s="71"/>
      <c r="D853" s="71" t="s">
        <v>2310</v>
      </c>
      <c r="E853" s="72">
        <v>230000</v>
      </c>
      <c r="F853" s="73">
        <v>40409</v>
      </c>
      <c r="G853" s="74"/>
      <c r="H853" s="71"/>
      <c r="I853" s="71"/>
      <c r="J853" s="71"/>
      <c r="K853" s="71"/>
      <c r="L853" s="76"/>
    </row>
    <row r="854" spans="1:12">
      <c r="A854" s="71" t="s">
        <v>2311</v>
      </c>
      <c r="B854" s="71" t="s">
        <v>4069</v>
      </c>
      <c r="C854" s="71" t="s">
        <v>2561</v>
      </c>
      <c r="D854" s="71" t="s">
        <v>2312</v>
      </c>
      <c r="E854" s="72"/>
      <c r="F854" s="73">
        <v>40400</v>
      </c>
      <c r="G854" s="74"/>
      <c r="H854" s="71"/>
      <c r="I854" s="71"/>
      <c r="J854" s="71"/>
      <c r="K854" s="71"/>
      <c r="L854" s="76"/>
    </row>
    <row r="855" spans="1:12">
      <c r="A855" s="71" t="s">
        <v>2313</v>
      </c>
      <c r="B855" s="71" t="s">
        <v>4062</v>
      </c>
      <c r="C855" s="71"/>
      <c r="D855" s="71" t="s">
        <v>2314</v>
      </c>
      <c r="E855" s="72">
        <v>22000</v>
      </c>
      <c r="F855" s="73">
        <v>40360</v>
      </c>
      <c r="G855" s="74"/>
      <c r="H855" s="71"/>
      <c r="I855" s="71"/>
      <c r="J855" s="71"/>
      <c r="K855" s="71"/>
      <c r="L855" s="76"/>
    </row>
    <row r="856" spans="1:12">
      <c r="A856" s="71" t="s">
        <v>2315</v>
      </c>
      <c r="B856" s="71" t="s">
        <v>4066</v>
      </c>
      <c r="C856" s="71"/>
      <c r="D856" s="71" t="s">
        <v>2316</v>
      </c>
      <c r="E856" s="72">
        <v>744240</v>
      </c>
      <c r="F856" s="73">
        <v>40428</v>
      </c>
      <c r="G856" s="74"/>
      <c r="H856" s="71"/>
      <c r="I856" s="71"/>
      <c r="J856" s="71"/>
      <c r="K856" s="71"/>
      <c r="L856" s="76"/>
    </row>
    <row r="857" spans="1:12">
      <c r="A857" s="71" t="s">
        <v>2317</v>
      </c>
      <c r="B857" s="71" t="s">
        <v>4062</v>
      </c>
      <c r="C857" s="71" t="s">
        <v>2318</v>
      </c>
      <c r="D857" s="71" t="s">
        <v>2319</v>
      </c>
      <c r="E857" s="72"/>
      <c r="F857" s="73"/>
      <c r="G857" s="74"/>
      <c r="H857" s="71"/>
      <c r="I857" s="71"/>
      <c r="J857" s="71"/>
      <c r="K857" s="71"/>
      <c r="L857" s="76"/>
    </row>
    <row r="858" spans="1:12">
      <c r="A858" s="71" t="s">
        <v>2320</v>
      </c>
      <c r="B858" s="71" t="s">
        <v>4062</v>
      </c>
      <c r="C858" s="71" t="s">
        <v>2321</v>
      </c>
      <c r="D858" s="71" t="s">
        <v>2322</v>
      </c>
      <c r="E858" s="72"/>
      <c r="F858" s="73"/>
      <c r="G858" s="74"/>
      <c r="H858" s="71"/>
      <c r="I858" s="71"/>
      <c r="J858" s="71"/>
      <c r="K858" s="71"/>
      <c r="L858" s="76"/>
    </row>
    <row r="859" spans="1:12">
      <c r="A859" s="71" t="s">
        <v>2323</v>
      </c>
      <c r="B859" s="71" t="s">
        <v>4062</v>
      </c>
      <c r="C859" s="71" t="s">
        <v>2324</v>
      </c>
      <c r="D859" s="71" t="s">
        <v>2325</v>
      </c>
      <c r="E859" s="72"/>
      <c r="F859" s="73"/>
      <c r="G859" s="74"/>
      <c r="H859" s="71"/>
      <c r="I859" s="71"/>
      <c r="J859" s="71"/>
      <c r="K859" s="71"/>
      <c r="L859" s="76"/>
    </row>
    <row r="860" spans="1:12">
      <c r="A860" s="71" t="s">
        <v>2326</v>
      </c>
      <c r="B860" s="71" t="s">
        <v>4062</v>
      </c>
      <c r="C860" s="71" t="s">
        <v>2327</v>
      </c>
      <c r="D860" s="71" t="s">
        <v>2328</v>
      </c>
      <c r="E860" s="72"/>
      <c r="F860" s="73"/>
      <c r="G860" s="74"/>
      <c r="H860" s="71"/>
      <c r="I860" s="71"/>
      <c r="J860" s="71"/>
      <c r="K860" s="71"/>
      <c r="L860" s="76"/>
    </row>
    <row r="861" spans="1:12">
      <c r="A861" s="71" t="s">
        <v>2329</v>
      </c>
      <c r="B861" s="71" t="s">
        <v>4062</v>
      </c>
      <c r="C861" s="71" t="s">
        <v>3438</v>
      </c>
      <c r="D861" s="71" t="s">
        <v>2330</v>
      </c>
      <c r="E861" s="72">
        <v>755000</v>
      </c>
      <c r="F861" s="73">
        <v>40409</v>
      </c>
      <c r="G861" s="74">
        <v>40416</v>
      </c>
      <c r="H861" s="75">
        <v>40417</v>
      </c>
      <c r="I861" s="71"/>
      <c r="J861" s="71"/>
      <c r="K861" s="71"/>
      <c r="L861" s="76"/>
    </row>
    <row r="862" spans="1:12">
      <c r="A862" s="71" t="s">
        <v>2331</v>
      </c>
      <c r="B862" s="71" t="s">
        <v>4062</v>
      </c>
      <c r="C862" s="71" t="s">
        <v>3438</v>
      </c>
      <c r="D862" s="71" t="s">
        <v>2332</v>
      </c>
      <c r="E862" s="72">
        <v>450000</v>
      </c>
      <c r="F862" s="73">
        <v>40409</v>
      </c>
      <c r="G862" s="74">
        <v>40416</v>
      </c>
      <c r="H862" s="75">
        <v>40417</v>
      </c>
      <c r="I862" s="71"/>
      <c r="J862" s="71"/>
      <c r="K862" s="71"/>
      <c r="L862" s="76"/>
    </row>
    <row r="863" spans="1:12">
      <c r="A863" s="71" t="s">
        <v>2333</v>
      </c>
      <c r="B863" s="71" t="s">
        <v>4147</v>
      </c>
      <c r="C863" s="71" t="s">
        <v>2334</v>
      </c>
      <c r="D863" s="71" t="s">
        <v>2335</v>
      </c>
      <c r="E863" s="72"/>
      <c r="F863" s="73">
        <v>40391</v>
      </c>
      <c r="G863" s="74"/>
      <c r="H863" s="71"/>
      <c r="I863" s="71"/>
      <c r="J863" s="71"/>
      <c r="K863" s="71"/>
      <c r="L863" s="76"/>
    </row>
    <row r="864" spans="1:12">
      <c r="A864" s="71" t="s">
        <v>2336</v>
      </c>
      <c r="B864" s="71" t="s">
        <v>3259</v>
      </c>
      <c r="C864" s="71"/>
      <c r="D864" s="71" t="s">
        <v>2337</v>
      </c>
      <c r="E864" s="72">
        <v>230000</v>
      </c>
      <c r="F864" s="73">
        <v>40391</v>
      </c>
      <c r="G864" s="74"/>
      <c r="H864" s="71"/>
      <c r="I864" s="71"/>
      <c r="J864" s="71"/>
      <c r="K864" s="71"/>
      <c r="L864" s="76"/>
    </row>
    <row r="865" spans="1:12">
      <c r="A865" s="71" t="s">
        <v>2338</v>
      </c>
      <c r="B865" s="71" t="s">
        <v>4128</v>
      </c>
      <c r="C865" s="71"/>
      <c r="D865" s="71" t="s">
        <v>2339</v>
      </c>
      <c r="E865" s="72">
        <v>1239000</v>
      </c>
      <c r="F865" s="73">
        <v>40399</v>
      </c>
      <c r="G865" s="74"/>
      <c r="H865" s="71"/>
      <c r="I865" s="71"/>
      <c r="J865" s="71"/>
      <c r="K865" s="71"/>
      <c r="L865" s="76"/>
    </row>
    <row r="866" spans="1:12">
      <c r="A866" s="71" t="s">
        <v>2340</v>
      </c>
      <c r="B866" s="71" t="s">
        <v>4190</v>
      </c>
      <c r="C866" s="71"/>
      <c r="D866" s="71" t="s">
        <v>2341</v>
      </c>
      <c r="E866" s="72">
        <v>150000</v>
      </c>
      <c r="F866" s="73">
        <v>40400</v>
      </c>
      <c r="G866" s="74"/>
      <c r="H866" s="71"/>
      <c r="I866" s="71"/>
      <c r="J866" s="71"/>
      <c r="K866" s="71"/>
      <c r="L866" s="76"/>
    </row>
    <row r="867" spans="1:12">
      <c r="A867" s="71" t="s">
        <v>2342</v>
      </c>
      <c r="B867" s="71" t="s">
        <v>3481</v>
      </c>
      <c r="C867" s="71"/>
      <c r="D867" s="71" t="s">
        <v>2343</v>
      </c>
      <c r="E867" s="72">
        <v>215000</v>
      </c>
      <c r="F867" s="73">
        <v>40402</v>
      </c>
      <c r="G867" s="74"/>
      <c r="H867" s="71"/>
      <c r="I867" s="71"/>
      <c r="J867" s="71"/>
      <c r="K867" s="71"/>
      <c r="L867" s="76"/>
    </row>
    <row r="868" spans="1:12">
      <c r="A868" s="71" t="s">
        <v>2344</v>
      </c>
      <c r="B868" s="71" t="s">
        <v>4062</v>
      </c>
      <c r="C868" s="71"/>
      <c r="D868" s="71" t="s">
        <v>2345</v>
      </c>
      <c r="E868" s="72">
        <v>225000</v>
      </c>
      <c r="F868" s="73">
        <v>40409</v>
      </c>
      <c r="G868" s="74"/>
      <c r="H868" s="71"/>
      <c r="I868" s="71"/>
      <c r="J868" s="71"/>
      <c r="K868" s="71"/>
      <c r="L868" s="76"/>
    </row>
    <row r="869" spans="1:12">
      <c r="A869" s="71" t="s">
        <v>2346</v>
      </c>
      <c r="B869" s="71" t="s">
        <v>4069</v>
      </c>
      <c r="C869" s="71"/>
      <c r="D869" s="71" t="s">
        <v>2347</v>
      </c>
      <c r="E869" s="72">
        <v>2100000</v>
      </c>
      <c r="F869" s="73">
        <v>40391</v>
      </c>
      <c r="G869" s="74"/>
      <c r="H869" s="71"/>
      <c r="I869" s="71"/>
      <c r="J869" s="71"/>
      <c r="K869" s="71"/>
      <c r="L869" s="76"/>
    </row>
    <row r="870" spans="1:12">
      <c r="A870" s="71" t="s">
        <v>2348</v>
      </c>
      <c r="B870" s="71" t="s">
        <v>4341</v>
      </c>
      <c r="C870" s="71"/>
      <c r="D870" s="71" t="s">
        <v>2349</v>
      </c>
      <c r="E870" s="72">
        <v>100000</v>
      </c>
      <c r="F870" s="73">
        <v>40423</v>
      </c>
      <c r="G870" s="74"/>
      <c r="H870" s="71"/>
      <c r="I870" s="71"/>
      <c r="J870" s="71"/>
      <c r="K870" s="71"/>
      <c r="L870" s="76"/>
    </row>
    <row r="871" spans="1:12">
      <c r="A871" s="71" t="s">
        <v>2350</v>
      </c>
      <c r="B871" s="71" t="s">
        <v>4463</v>
      </c>
      <c r="C871" s="71"/>
      <c r="D871" s="71" t="s">
        <v>2351</v>
      </c>
      <c r="E871" s="72">
        <v>257000</v>
      </c>
      <c r="F871" s="73">
        <v>40407</v>
      </c>
      <c r="G871" s="74"/>
      <c r="H871" s="71"/>
      <c r="I871" s="71"/>
      <c r="J871" s="71"/>
      <c r="K871" s="71"/>
      <c r="L871" s="76"/>
    </row>
    <row r="872" spans="1:12">
      <c r="A872" s="71" t="s">
        <v>2352</v>
      </c>
      <c r="B872" s="71" t="s">
        <v>4069</v>
      </c>
      <c r="C872" s="71"/>
      <c r="D872" s="71" t="s">
        <v>2353</v>
      </c>
      <c r="E872" s="72">
        <v>550000</v>
      </c>
      <c r="F872" s="73">
        <v>40391</v>
      </c>
      <c r="G872" s="74"/>
      <c r="H872" s="71"/>
      <c r="I872" s="71"/>
      <c r="J872" s="71"/>
      <c r="K872" s="71"/>
      <c r="L872" s="76"/>
    </row>
    <row r="873" spans="1:12">
      <c r="A873" s="94">
        <v>40391</v>
      </c>
      <c r="B873" s="71"/>
      <c r="C873" s="71"/>
      <c r="D873" s="71"/>
      <c r="E873" s="72"/>
      <c r="F873" s="73"/>
      <c r="G873" s="74"/>
      <c r="H873" s="71"/>
      <c r="I873" s="71"/>
      <c r="J873" s="71"/>
      <c r="K873" s="71"/>
      <c r="L873" s="76"/>
    </row>
    <row r="874" spans="1:12">
      <c r="A874" s="71" t="s">
        <v>2354</v>
      </c>
      <c r="B874" s="71" t="s">
        <v>4341</v>
      </c>
      <c r="C874" s="71"/>
      <c r="D874" s="71" t="s">
        <v>2355</v>
      </c>
      <c r="E874" s="72">
        <v>300000</v>
      </c>
      <c r="F874" s="73">
        <v>40423</v>
      </c>
      <c r="G874" s="74"/>
      <c r="H874" s="71"/>
      <c r="I874" s="71"/>
      <c r="J874" s="71"/>
      <c r="K874" s="71"/>
      <c r="L874" s="76"/>
    </row>
    <row r="875" spans="1:12">
      <c r="A875" s="71" t="s">
        <v>2356</v>
      </c>
      <c r="B875" s="71" t="s">
        <v>4069</v>
      </c>
      <c r="C875" s="71"/>
      <c r="D875" s="71" t="s">
        <v>2357</v>
      </c>
      <c r="E875" s="72">
        <v>3000000</v>
      </c>
      <c r="F875" s="73">
        <v>40422</v>
      </c>
      <c r="G875" s="74"/>
      <c r="H875" s="71"/>
      <c r="I875" s="71"/>
      <c r="J875" s="71"/>
      <c r="K875" s="71"/>
      <c r="L875" s="76"/>
    </row>
    <row r="876" spans="1:12">
      <c r="A876" s="71" t="s">
        <v>2358</v>
      </c>
      <c r="B876" s="71" t="s">
        <v>4069</v>
      </c>
      <c r="C876" s="71"/>
      <c r="D876" s="71" t="s">
        <v>2359</v>
      </c>
      <c r="E876" s="72">
        <v>250000</v>
      </c>
      <c r="F876" s="73">
        <v>40391</v>
      </c>
      <c r="G876" s="74"/>
      <c r="H876" s="71"/>
      <c r="I876" s="71"/>
      <c r="J876" s="71"/>
      <c r="K876" s="71"/>
      <c r="L876" s="76"/>
    </row>
    <row r="877" spans="1:12">
      <c r="A877" s="71" t="s">
        <v>2360</v>
      </c>
      <c r="B877" s="71" t="s">
        <v>2631</v>
      </c>
      <c r="C877" s="71"/>
      <c r="D877" s="71" t="s">
        <v>2361</v>
      </c>
      <c r="E877" s="72">
        <v>28000000</v>
      </c>
      <c r="F877" s="73">
        <v>40443</v>
      </c>
      <c r="G877" s="74"/>
      <c r="H877" s="71"/>
      <c r="I877" s="71"/>
      <c r="J877" s="71"/>
      <c r="K877" s="71"/>
      <c r="L877" s="76"/>
    </row>
    <row r="878" spans="1:12">
      <c r="A878" s="71" t="s">
        <v>2362</v>
      </c>
      <c r="B878" s="71" t="s">
        <v>2631</v>
      </c>
      <c r="C878" s="71"/>
      <c r="D878" s="71" t="s">
        <v>2363</v>
      </c>
      <c r="E878" s="72">
        <v>11500000</v>
      </c>
      <c r="F878" s="73">
        <v>40371</v>
      </c>
      <c r="G878" s="74"/>
      <c r="H878" s="71"/>
      <c r="I878" s="71"/>
      <c r="J878" s="71"/>
      <c r="K878" s="71"/>
      <c r="L878" s="76"/>
    </row>
    <row r="879" spans="1:12">
      <c r="A879" s="71" t="s">
        <v>2364</v>
      </c>
      <c r="B879" s="71" t="s">
        <v>1986</v>
      </c>
      <c r="C879" s="71"/>
      <c r="D879" s="71" t="s">
        <v>2365</v>
      </c>
      <c r="E879" s="72">
        <v>450000</v>
      </c>
      <c r="F879" s="73">
        <v>40431</v>
      </c>
      <c r="G879" s="74"/>
      <c r="H879" s="71"/>
      <c r="I879" s="71"/>
      <c r="J879" s="71"/>
      <c r="K879" s="71"/>
      <c r="L879" s="76"/>
    </row>
    <row r="880" spans="1:12">
      <c r="A880" s="71" t="s">
        <v>2366</v>
      </c>
      <c r="B880" s="71" t="s">
        <v>4128</v>
      </c>
      <c r="C880" s="71"/>
      <c r="D880" s="71" t="s">
        <v>2367</v>
      </c>
      <c r="E880" s="72">
        <v>17500000</v>
      </c>
      <c r="F880" s="73">
        <v>40422</v>
      </c>
      <c r="G880" s="74"/>
      <c r="H880" s="71"/>
      <c r="I880" s="71"/>
      <c r="J880" s="71"/>
      <c r="K880" s="71"/>
      <c r="L880" s="76"/>
    </row>
    <row r="881" spans="1:12">
      <c r="A881" s="71" t="s">
        <v>2368</v>
      </c>
      <c r="B881" s="71" t="s">
        <v>4186</v>
      </c>
      <c r="C881" s="71"/>
      <c r="D881" s="71" t="s">
        <v>2369</v>
      </c>
      <c r="E881" s="72">
        <v>350000</v>
      </c>
      <c r="F881" s="73">
        <v>40423</v>
      </c>
      <c r="G881" s="74"/>
      <c r="H881" s="71"/>
      <c r="I881" s="71"/>
      <c r="J881" s="71"/>
      <c r="K881" s="71"/>
      <c r="L881" s="76"/>
    </row>
    <row r="882" spans="1:12">
      <c r="A882" s="71" t="s">
        <v>2370</v>
      </c>
      <c r="B882" s="71" t="s">
        <v>4069</v>
      </c>
      <c r="C882" s="71"/>
      <c r="D882" s="71" t="s">
        <v>2371</v>
      </c>
      <c r="E882" s="72">
        <v>1800000</v>
      </c>
      <c r="F882" s="73">
        <v>40443</v>
      </c>
      <c r="G882" s="74"/>
      <c r="H882" s="71"/>
      <c r="I882" s="71"/>
      <c r="J882" s="71"/>
      <c r="K882" s="71"/>
      <c r="L882" s="76"/>
    </row>
    <row r="883" spans="1:12">
      <c r="A883" s="71" t="s">
        <v>2372</v>
      </c>
      <c r="B883" s="71" t="s">
        <v>4069</v>
      </c>
      <c r="C883" s="71"/>
      <c r="D883" s="71" t="s">
        <v>2373</v>
      </c>
      <c r="E883" s="72">
        <v>110000</v>
      </c>
      <c r="F883" s="73">
        <v>40430</v>
      </c>
      <c r="G883" s="74"/>
      <c r="H883" s="71"/>
      <c r="I883" s="71"/>
      <c r="J883" s="71"/>
      <c r="K883" s="71"/>
      <c r="L883" s="76"/>
    </row>
    <row r="884" spans="1:12">
      <c r="A884" s="71" t="s">
        <v>2374</v>
      </c>
      <c r="B884" s="71" t="s">
        <v>3435</v>
      </c>
      <c r="C884" s="71"/>
      <c r="D884" s="71" t="s">
        <v>2375</v>
      </c>
      <c r="E884" s="72">
        <v>200000</v>
      </c>
      <c r="F884" s="73">
        <v>40438</v>
      </c>
      <c r="G884" s="74"/>
      <c r="H884" s="71"/>
      <c r="I884" s="71"/>
      <c r="J884" s="71"/>
      <c r="K884" s="71"/>
      <c r="L884" s="76"/>
    </row>
    <row r="885" spans="1:12">
      <c r="A885" s="71" t="s">
        <v>2376</v>
      </c>
      <c r="B885" s="71" t="s">
        <v>4128</v>
      </c>
      <c r="C885" s="71"/>
      <c r="D885" s="71" t="s">
        <v>2377</v>
      </c>
      <c r="E885" s="72">
        <v>125000</v>
      </c>
      <c r="F885" s="73">
        <v>40431</v>
      </c>
      <c r="G885" s="74"/>
      <c r="H885" s="71"/>
      <c r="I885" s="71"/>
      <c r="J885" s="71"/>
      <c r="K885" s="71"/>
      <c r="L885" s="76"/>
    </row>
    <row r="886" spans="1:12">
      <c r="A886" s="71" t="s">
        <v>2378</v>
      </c>
      <c r="B886" s="71" t="s">
        <v>2897</v>
      </c>
      <c r="C886" s="71"/>
      <c r="D886" s="71" t="s">
        <v>2379</v>
      </c>
      <c r="E886" s="72">
        <v>42000</v>
      </c>
      <c r="F886" s="73">
        <v>40423</v>
      </c>
      <c r="G886" s="74"/>
      <c r="H886" s="71"/>
      <c r="I886" s="71"/>
      <c r="J886" s="71"/>
      <c r="K886" s="71"/>
      <c r="L886" s="76"/>
    </row>
    <row r="887" spans="1:12">
      <c r="A887" s="71" t="s">
        <v>2380</v>
      </c>
      <c r="B887" s="71" t="s">
        <v>2897</v>
      </c>
      <c r="C887" s="71"/>
      <c r="D887" s="71" t="s">
        <v>2381</v>
      </c>
      <c r="E887" s="72">
        <v>300000</v>
      </c>
      <c r="F887" s="75">
        <v>40441</v>
      </c>
      <c r="G887" s="74"/>
      <c r="H887" s="71"/>
      <c r="I887" s="71"/>
      <c r="J887" s="71"/>
      <c r="K887" s="71"/>
      <c r="L887" s="76"/>
    </row>
    <row r="888" spans="1:12">
      <c r="A888" s="71" t="s">
        <v>2382</v>
      </c>
      <c r="B888" s="71" t="s">
        <v>1611</v>
      </c>
      <c r="C888" s="71"/>
      <c r="D888" s="71" t="s">
        <v>2383</v>
      </c>
      <c r="E888" s="72">
        <v>300000</v>
      </c>
      <c r="F888" s="73">
        <v>40444</v>
      </c>
      <c r="G888" s="74"/>
      <c r="H888" s="71"/>
      <c r="I888" s="71"/>
      <c r="J888" s="71"/>
      <c r="K888" s="71"/>
      <c r="L888" s="76"/>
    </row>
    <row r="889" spans="1:12">
      <c r="A889" s="71" t="s">
        <v>2384</v>
      </c>
      <c r="B889" s="71" t="s">
        <v>2244</v>
      </c>
      <c r="C889" s="71"/>
      <c r="D889" s="71" t="s">
        <v>2385</v>
      </c>
      <c r="E889" s="72">
        <v>102100</v>
      </c>
      <c r="F889" s="73">
        <v>40437</v>
      </c>
      <c r="G889" s="74"/>
      <c r="H889" s="71"/>
      <c r="I889" s="71"/>
      <c r="J889" s="71"/>
      <c r="K889" s="71"/>
      <c r="L889" s="76"/>
    </row>
    <row r="890" spans="1:12">
      <c r="A890" s="71" t="s">
        <v>2386</v>
      </c>
      <c r="B890" s="71" t="s">
        <v>3259</v>
      </c>
      <c r="C890" s="71"/>
      <c r="D890" s="71" t="s">
        <v>2387</v>
      </c>
      <c r="E890" s="72">
        <v>310000</v>
      </c>
      <c r="F890" s="73">
        <v>40422</v>
      </c>
      <c r="G890" s="74"/>
      <c r="H890" s="71"/>
      <c r="I890" s="71"/>
      <c r="J890" s="71"/>
      <c r="K890" s="71"/>
      <c r="L890" s="76"/>
    </row>
    <row r="891" spans="1:12">
      <c r="A891" s="71" t="s">
        <v>2388</v>
      </c>
      <c r="B891" s="71" t="s">
        <v>3259</v>
      </c>
      <c r="C891" s="71"/>
      <c r="D891" s="71" t="s">
        <v>2389</v>
      </c>
      <c r="E891" s="72">
        <v>410000</v>
      </c>
      <c r="F891" s="73">
        <v>40422</v>
      </c>
      <c r="G891" s="74"/>
      <c r="H891" s="71"/>
      <c r="I891" s="71"/>
      <c r="J891" s="71"/>
      <c r="K891" s="71"/>
      <c r="L891" s="76"/>
    </row>
    <row r="892" spans="1:12">
      <c r="A892" s="71" t="s">
        <v>2390</v>
      </c>
      <c r="B892" s="71" t="s">
        <v>3259</v>
      </c>
      <c r="C892" s="71"/>
      <c r="D892" s="71" t="s">
        <v>2391</v>
      </c>
      <c r="E892" s="72">
        <v>350000</v>
      </c>
      <c r="F892" s="73">
        <v>40430</v>
      </c>
      <c r="G892" s="74"/>
      <c r="H892" s="71"/>
      <c r="I892" s="71"/>
      <c r="J892" s="71"/>
      <c r="K892" s="71"/>
      <c r="L892" s="76"/>
    </row>
    <row r="893" spans="1:12">
      <c r="A893" s="71" t="s">
        <v>2392</v>
      </c>
      <c r="B893" s="71" t="s">
        <v>4069</v>
      </c>
      <c r="C893" s="71"/>
      <c r="D893" s="71" t="s">
        <v>2393</v>
      </c>
      <c r="E893" s="72">
        <v>865000</v>
      </c>
      <c r="F893" s="73">
        <v>40422</v>
      </c>
      <c r="G893" s="74"/>
      <c r="H893" s="71"/>
      <c r="I893" s="71"/>
      <c r="J893" s="71"/>
      <c r="K893" s="71"/>
      <c r="L893" s="76"/>
    </row>
    <row r="894" spans="1:12">
      <c r="A894" s="71" t="s">
        <v>2394</v>
      </c>
      <c r="B894" s="71" t="s">
        <v>4463</v>
      </c>
      <c r="C894" s="71"/>
      <c r="D894" s="71" t="s">
        <v>2395</v>
      </c>
      <c r="E894" s="72">
        <v>206000</v>
      </c>
      <c r="F894" s="73">
        <v>40423</v>
      </c>
      <c r="G894" s="74"/>
      <c r="H894" s="71"/>
      <c r="I894" s="71"/>
      <c r="J894" s="71"/>
      <c r="K894" s="71"/>
      <c r="L894" s="76"/>
    </row>
    <row r="895" spans="1:12" ht="22.5">
      <c r="A895" s="71" t="s">
        <v>2396</v>
      </c>
      <c r="B895" s="71" t="s">
        <v>4186</v>
      </c>
      <c r="C895" s="71"/>
      <c r="D895" s="71" t="s">
        <v>2397</v>
      </c>
      <c r="E895" s="72">
        <v>175000</v>
      </c>
      <c r="F895" s="73">
        <v>40444</v>
      </c>
      <c r="G895" s="74"/>
      <c r="H895" s="71"/>
      <c r="I895" s="71"/>
      <c r="J895" s="71"/>
      <c r="K895" s="71"/>
      <c r="L895" s="76"/>
    </row>
    <row r="896" spans="1:12">
      <c r="A896" s="71" t="s">
        <v>2398</v>
      </c>
      <c r="B896" s="71" t="s">
        <v>4273</v>
      </c>
      <c r="C896" s="71"/>
      <c r="D896" s="71" t="s">
        <v>2399</v>
      </c>
      <c r="E896" s="72">
        <v>5400000</v>
      </c>
      <c r="F896" s="73">
        <v>40422</v>
      </c>
      <c r="G896" s="74"/>
      <c r="H896" s="71"/>
      <c r="I896" s="71"/>
      <c r="J896" s="71"/>
      <c r="K896" s="71"/>
      <c r="L896" s="76"/>
    </row>
    <row r="897" spans="1:12">
      <c r="A897" s="71" t="s">
        <v>2400</v>
      </c>
      <c r="B897" s="71" t="s">
        <v>4069</v>
      </c>
      <c r="C897" s="71"/>
      <c r="D897" s="71" t="s">
        <v>2401</v>
      </c>
      <c r="E897" s="72">
        <v>195000</v>
      </c>
      <c r="F897" s="73">
        <v>40443</v>
      </c>
      <c r="G897" s="74"/>
      <c r="H897" s="71"/>
      <c r="I897" s="71"/>
      <c r="J897" s="71"/>
      <c r="K897" s="71"/>
      <c r="L897" s="76"/>
    </row>
    <row r="898" spans="1:12">
      <c r="A898" s="71" t="s">
        <v>2402</v>
      </c>
      <c r="B898" s="71" t="s">
        <v>3259</v>
      </c>
      <c r="C898" s="71"/>
      <c r="D898" s="71" t="s">
        <v>2403</v>
      </c>
      <c r="E898" s="72">
        <v>430000</v>
      </c>
      <c r="F898" s="73">
        <v>40422</v>
      </c>
      <c r="G898" s="74"/>
      <c r="H898" s="71"/>
      <c r="I898" s="71"/>
      <c r="J898" s="71"/>
      <c r="K898" s="71"/>
      <c r="L898" s="76"/>
    </row>
    <row r="899" spans="1:12">
      <c r="A899" s="71" t="s">
        <v>2404</v>
      </c>
      <c r="B899" s="71" t="s">
        <v>3259</v>
      </c>
      <c r="C899" s="71"/>
      <c r="D899" s="71" t="s">
        <v>2405</v>
      </c>
      <c r="E899" s="72">
        <v>320000</v>
      </c>
      <c r="F899" s="73">
        <v>40422</v>
      </c>
      <c r="G899" s="74"/>
      <c r="H899" s="71"/>
      <c r="I899" s="71"/>
      <c r="J899" s="71"/>
      <c r="K899" s="71"/>
      <c r="L899" s="76"/>
    </row>
    <row r="900" spans="1:12">
      <c r="A900" s="71" t="s">
        <v>2406</v>
      </c>
      <c r="B900" s="71" t="s">
        <v>3259</v>
      </c>
      <c r="C900" s="71"/>
      <c r="D900" s="71" t="s">
        <v>2407</v>
      </c>
      <c r="E900" s="72">
        <v>320000</v>
      </c>
      <c r="F900" s="73">
        <v>40422</v>
      </c>
      <c r="G900" s="74"/>
      <c r="H900" s="71"/>
      <c r="I900" s="71"/>
      <c r="J900" s="71"/>
      <c r="K900" s="71"/>
      <c r="L900" s="76"/>
    </row>
    <row r="901" spans="1:12">
      <c r="A901" s="71" t="s">
        <v>2408</v>
      </c>
      <c r="B901" s="71" t="s">
        <v>4186</v>
      </c>
      <c r="C901" s="71"/>
      <c r="D901" s="71" t="s">
        <v>2409</v>
      </c>
      <c r="E901" s="72">
        <v>24000000</v>
      </c>
      <c r="F901" s="73">
        <v>40422</v>
      </c>
      <c r="G901" s="74"/>
      <c r="H901" s="71"/>
      <c r="I901" s="71"/>
      <c r="J901" s="71"/>
      <c r="K901" s="71"/>
      <c r="L901" s="76"/>
    </row>
    <row r="902" spans="1:12">
      <c r="A902" s="71" t="s">
        <v>2410</v>
      </c>
      <c r="B902" s="71" t="s">
        <v>4186</v>
      </c>
      <c r="C902" s="71"/>
      <c r="D902" s="71" t="s">
        <v>2411</v>
      </c>
      <c r="E902" s="72">
        <v>250000</v>
      </c>
      <c r="F902" s="73">
        <v>40449</v>
      </c>
      <c r="G902" s="74"/>
      <c r="H902" s="71"/>
      <c r="I902" s="71"/>
      <c r="J902" s="71"/>
      <c r="K902" s="71"/>
      <c r="L902" s="76" t="s">
        <v>2877</v>
      </c>
    </row>
    <row r="903" spans="1:12">
      <c r="A903" s="94">
        <v>40422</v>
      </c>
      <c r="B903" s="71"/>
      <c r="C903" s="71"/>
      <c r="D903" s="71"/>
      <c r="E903" s="72"/>
      <c r="F903" s="73"/>
      <c r="G903" s="74"/>
      <c r="H903" s="71"/>
      <c r="I903" s="71"/>
      <c r="J903" s="71"/>
      <c r="K903" s="71"/>
      <c r="L903" s="76"/>
    </row>
    <row r="904" spans="1:12">
      <c r="A904" s="71" t="s">
        <v>2412</v>
      </c>
      <c r="B904" s="71" t="s">
        <v>4137</v>
      </c>
      <c r="C904" s="71"/>
      <c r="D904" s="71" t="s">
        <v>2413</v>
      </c>
      <c r="E904" s="72">
        <v>1200000</v>
      </c>
      <c r="F904" s="73">
        <v>40429</v>
      </c>
      <c r="G904" s="74"/>
      <c r="H904" s="71"/>
      <c r="I904" s="71"/>
      <c r="J904" s="71"/>
      <c r="K904" s="71"/>
      <c r="L904" s="76"/>
    </row>
    <row r="905" spans="1:12">
      <c r="A905" s="71" t="s">
        <v>2414</v>
      </c>
      <c r="B905" s="71"/>
      <c r="C905" s="71"/>
      <c r="D905" s="71"/>
      <c r="E905" s="72"/>
      <c r="F905" s="73"/>
      <c r="G905" s="74"/>
      <c r="H905" s="71"/>
      <c r="I905" s="71"/>
      <c r="J905" s="71"/>
      <c r="K905" s="71"/>
      <c r="L905" s="76"/>
    </row>
    <row r="906" spans="1:12">
      <c r="A906" s="71" t="s">
        <v>2415</v>
      </c>
      <c r="B906" s="71"/>
      <c r="C906" s="71"/>
      <c r="D906" s="71"/>
      <c r="E906" s="72"/>
      <c r="F906" s="73"/>
      <c r="G906" s="74"/>
      <c r="H906" s="71"/>
      <c r="I906" s="71"/>
      <c r="J906" s="71"/>
      <c r="K906" s="71"/>
      <c r="L906" s="76"/>
    </row>
    <row r="907" spans="1:12">
      <c r="A907" s="71" t="s">
        <v>2416</v>
      </c>
      <c r="B907" s="71" t="s">
        <v>4186</v>
      </c>
      <c r="C907" s="71"/>
      <c r="D907" s="71" t="s">
        <v>2417</v>
      </c>
      <c r="E907" s="72">
        <v>10900000</v>
      </c>
      <c r="F907" s="73">
        <v>40431</v>
      </c>
      <c r="G907" s="74"/>
      <c r="H907" s="71"/>
      <c r="I907" s="71"/>
      <c r="J907" s="71"/>
      <c r="K907" s="71"/>
      <c r="L907" s="76"/>
    </row>
    <row r="908" spans="1:12">
      <c r="A908" s="71" t="s">
        <v>2418</v>
      </c>
      <c r="B908" s="71" t="s">
        <v>3259</v>
      </c>
      <c r="C908" s="71"/>
      <c r="D908" s="71" t="s">
        <v>2419</v>
      </c>
      <c r="E908" s="72">
        <v>25000000</v>
      </c>
      <c r="F908" s="73">
        <v>40452</v>
      </c>
      <c r="G908" s="74"/>
      <c r="H908" s="71"/>
      <c r="I908" s="71"/>
      <c r="J908" s="71"/>
      <c r="K908" s="71"/>
      <c r="L908" s="76" t="s">
        <v>2877</v>
      </c>
    </row>
    <row r="909" spans="1:12">
      <c r="A909" s="17" t="s">
        <v>2496</v>
      </c>
      <c r="B909" s="71"/>
      <c r="C909" s="71"/>
      <c r="D909" s="71"/>
      <c r="E909" s="97">
        <f>SUM(E466:E908)</f>
        <v>1405458641.9200006</v>
      </c>
      <c r="F909" s="73"/>
      <c r="G909" s="74"/>
      <c r="H909" s="71"/>
      <c r="I909" s="71"/>
      <c r="J909" s="71"/>
      <c r="K909" s="71"/>
      <c r="L909" s="76"/>
    </row>
    <row r="910" spans="1:12">
      <c r="A910" s="17"/>
      <c r="B910" s="71"/>
      <c r="C910" s="71"/>
      <c r="D910" s="71"/>
      <c r="E910" s="97"/>
      <c r="F910" s="73"/>
      <c r="G910" s="74"/>
      <c r="H910" s="71"/>
      <c r="I910" s="71"/>
      <c r="J910" s="71"/>
      <c r="K910" s="71"/>
      <c r="L910" s="76"/>
    </row>
    <row r="911" spans="1:12">
      <c r="A911" s="17" t="s">
        <v>2497</v>
      </c>
      <c r="B911" s="71"/>
      <c r="C911" s="71"/>
      <c r="D911" s="71"/>
      <c r="E911" s="72"/>
      <c r="F911" s="73"/>
      <c r="G911" s="74"/>
      <c r="H911" s="71"/>
      <c r="I911" s="71"/>
      <c r="J911" s="71"/>
      <c r="K911" s="71"/>
      <c r="L911" s="76"/>
    </row>
    <row r="912" spans="1:12">
      <c r="A912" s="71" t="s">
        <v>2420</v>
      </c>
      <c r="B912" s="71" t="s">
        <v>4056</v>
      </c>
      <c r="C912" s="71"/>
      <c r="D912" s="71" t="s">
        <v>2421</v>
      </c>
      <c r="E912" s="72">
        <v>11060000</v>
      </c>
      <c r="F912" s="73">
        <v>40479</v>
      </c>
      <c r="G912" s="74"/>
      <c r="H912" s="71"/>
      <c r="I912" s="71"/>
      <c r="J912" s="71"/>
      <c r="K912" s="71"/>
      <c r="L912" s="76"/>
    </row>
    <row r="913" spans="1:12">
      <c r="A913" s="71" t="s">
        <v>2422</v>
      </c>
      <c r="B913" s="71" t="s">
        <v>4042</v>
      </c>
      <c r="C913" s="71"/>
      <c r="D913" s="71" t="s">
        <v>2423</v>
      </c>
      <c r="E913" s="72">
        <v>20000000</v>
      </c>
      <c r="F913" s="73">
        <v>40452</v>
      </c>
      <c r="G913" s="74"/>
      <c r="H913" s="71"/>
      <c r="I913" s="71"/>
      <c r="J913" s="71"/>
      <c r="K913" s="71"/>
      <c r="L913" s="76"/>
    </row>
    <row r="914" spans="1:12">
      <c r="A914" s="71" t="s">
        <v>2424</v>
      </c>
      <c r="B914" s="71" t="s">
        <v>4056</v>
      </c>
      <c r="C914" s="71"/>
      <c r="D914" s="71" t="s">
        <v>2425</v>
      </c>
      <c r="E914" s="72">
        <v>9200000</v>
      </c>
      <c r="F914" s="73">
        <v>40497</v>
      </c>
      <c r="G914" s="74"/>
      <c r="H914" s="71"/>
      <c r="I914" s="71"/>
      <c r="J914" s="71"/>
      <c r="K914" s="71"/>
      <c r="L914" s="76"/>
    </row>
    <row r="915" spans="1:12">
      <c r="A915" s="71" t="s">
        <v>2426</v>
      </c>
      <c r="B915" s="71" t="s">
        <v>4133</v>
      </c>
      <c r="C915" s="71"/>
      <c r="D915" s="71" t="s">
        <v>2427</v>
      </c>
      <c r="E915" s="72">
        <v>2000000</v>
      </c>
      <c r="F915" s="73">
        <v>40466</v>
      </c>
      <c r="G915" s="74"/>
      <c r="H915" s="71"/>
      <c r="I915" s="71"/>
      <c r="J915" s="71"/>
      <c r="K915" s="71"/>
      <c r="L915" s="76"/>
    </row>
    <row r="916" spans="1:12">
      <c r="A916" s="71" t="s">
        <v>2428</v>
      </c>
      <c r="B916" s="71" t="s">
        <v>4069</v>
      </c>
      <c r="C916" s="71"/>
      <c r="D916" s="71" t="s">
        <v>2429</v>
      </c>
      <c r="E916" s="72">
        <v>7500000</v>
      </c>
      <c r="F916" s="73">
        <v>40452</v>
      </c>
      <c r="G916" s="74"/>
      <c r="H916" s="71"/>
      <c r="I916" s="71"/>
      <c r="J916" s="71"/>
      <c r="K916" s="71"/>
      <c r="L916" s="76"/>
    </row>
    <row r="917" spans="1:12">
      <c r="A917" s="71" t="s">
        <v>2430</v>
      </c>
      <c r="B917" s="71" t="s">
        <v>4069</v>
      </c>
      <c r="C917" s="71"/>
      <c r="D917" s="71" t="s">
        <v>2431</v>
      </c>
      <c r="E917" s="72">
        <v>1000000</v>
      </c>
      <c r="F917" s="73">
        <v>40452</v>
      </c>
      <c r="G917" s="74"/>
      <c r="H917" s="71"/>
      <c r="I917" s="71"/>
      <c r="J917" s="71"/>
      <c r="K917" s="71"/>
      <c r="L917" s="76"/>
    </row>
    <row r="918" spans="1:12">
      <c r="A918" s="71" t="s">
        <v>2432</v>
      </c>
      <c r="B918" s="71" t="s">
        <v>2433</v>
      </c>
      <c r="C918" s="71"/>
      <c r="D918" s="71" t="s">
        <v>2434</v>
      </c>
      <c r="E918" s="72">
        <v>200000</v>
      </c>
      <c r="F918" s="73">
        <v>40465</v>
      </c>
      <c r="G918" s="74"/>
      <c r="H918" s="71"/>
      <c r="I918" s="71"/>
      <c r="J918" s="71"/>
      <c r="K918" s="71"/>
      <c r="L918" s="76"/>
    </row>
    <row r="919" spans="1:12">
      <c r="A919" s="71" t="s">
        <v>2435</v>
      </c>
      <c r="B919" s="71" t="s">
        <v>4133</v>
      </c>
      <c r="C919" s="71"/>
      <c r="D919" s="71" t="s">
        <v>2436</v>
      </c>
      <c r="E919" s="72">
        <v>850000</v>
      </c>
      <c r="F919" s="73">
        <v>40520</v>
      </c>
      <c r="G919" s="74"/>
      <c r="H919" s="71"/>
      <c r="I919" s="71"/>
      <c r="J919" s="71"/>
      <c r="K919" s="71"/>
      <c r="L919" s="76"/>
    </row>
    <row r="920" spans="1:12">
      <c r="A920" s="71" t="s">
        <v>2437</v>
      </c>
      <c r="B920" s="71" t="s">
        <v>4062</v>
      </c>
      <c r="C920" s="71"/>
      <c r="D920" s="71" t="s">
        <v>2438</v>
      </c>
      <c r="E920" s="72">
        <v>476420</v>
      </c>
      <c r="F920" s="73">
        <v>40456</v>
      </c>
      <c r="G920" s="74"/>
      <c r="H920" s="71"/>
      <c r="I920" s="71"/>
      <c r="J920" s="71"/>
      <c r="K920" s="71"/>
      <c r="L920" s="76"/>
    </row>
    <row r="921" spans="1:12">
      <c r="A921" s="71" t="s">
        <v>2439</v>
      </c>
      <c r="B921" s="71" t="s">
        <v>4273</v>
      </c>
      <c r="C921" s="71"/>
      <c r="D921" s="71" t="s">
        <v>2440</v>
      </c>
      <c r="E921" s="72">
        <v>3750000</v>
      </c>
      <c r="F921" s="73">
        <v>40459</v>
      </c>
      <c r="G921" s="74"/>
      <c r="H921" s="71"/>
      <c r="I921" s="71"/>
      <c r="J921" s="71"/>
      <c r="K921" s="71"/>
      <c r="L921" s="76"/>
    </row>
    <row r="922" spans="1:12">
      <c r="A922" s="71" t="s">
        <v>2441</v>
      </c>
      <c r="B922" s="71" t="s">
        <v>4062</v>
      </c>
      <c r="C922" s="71"/>
      <c r="D922" s="71" t="s">
        <v>2319</v>
      </c>
      <c r="E922" s="72">
        <v>1700000</v>
      </c>
      <c r="F922" s="73">
        <v>40470</v>
      </c>
      <c r="G922" s="74"/>
      <c r="H922" s="71"/>
      <c r="I922" s="71"/>
      <c r="J922" s="71"/>
      <c r="K922" s="71"/>
      <c r="L922" s="76"/>
    </row>
    <row r="923" spans="1:12">
      <c r="A923" s="71" t="s">
        <v>2442</v>
      </c>
      <c r="B923" s="71" t="s">
        <v>4062</v>
      </c>
      <c r="C923" s="71"/>
      <c r="D923" s="71" t="s">
        <v>2322</v>
      </c>
      <c r="E923" s="72">
        <v>155500</v>
      </c>
      <c r="F923" s="73">
        <v>40470</v>
      </c>
      <c r="G923" s="74"/>
      <c r="H923" s="71"/>
      <c r="I923" s="71"/>
      <c r="J923" s="71"/>
      <c r="K923" s="71"/>
      <c r="L923" s="76"/>
    </row>
    <row r="924" spans="1:12">
      <c r="A924" s="71" t="s">
        <v>2443</v>
      </c>
      <c r="B924" s="71" t="s">
        <v>4062</v>
      </c>
      <c r="C924" s="71"/>
      <c r="D924" s="71" t="s">
        <v>2325</v>
      </c>
      <c r="E924" s="72">
        <v>219391</v>
      </c>
      <c r="F924" s="73">
        <v>40470</v>
      </c>
      <c r="G924" s="74"/>
      <c r="H924" s="71"/>
      <c r="I924" s="71"/>
      <c r="J924" s="71"/>
      <c r="K924" s="71"/>
      <c r="L924" s="76"/>
    </row>
    <row r="925" spans="1:12">
      <c r="A925" s="71" t="s">
        <v>2444</v>
      </c>
      <c r="B925" s="71" t="s">
        <v>4062</v>
      </c>
      <c r="C925" s="71"/>
      <c r="D925" s="71" t="s">
        <v>2328</v>
      </c>
      <c r="E925" s="72">
        <v>260000</v>
      </c>
      <c r="F925" s="73">
        <v>40470</v>
      </c>
      <c r="G925" s="74"/>
      <c r="H925" s="71"/>
      <c r="I925" s="71"/>
      <c r="J925" s="71"/>
      <c r="K925" s="71"/>
      <c r="L925" s="76"/>
    </row>
    <row r="926" spans="1:12">
      <c r="A926" s="71" t="s">
        <v>2445</v>
      </c>
      <c r="B926" s="71" t="s">
        <v>4062</v>
      </c>
      <c r="C926" s="71"/>
      <c r="D926" s="71" t="s">
        <v>2446</v>
      </c>
      <c r="E926" s="72">
        <v>662560</v>
      </c>
      <c r="F926" s="73">
        <v>40472</v>
      </c>
      <c r="G926" s="74"/>
      <c r="H926" s="71"/>
      <c r="I926" s="71"/>
      <c r="J926" s="71"/>
      <c r="K926" s="71"/>
      <c r="L926" s="76"/>
    </row>
    <row r="927" spans="1:12">
      <c r="A927" s="71" t="s">
        <v>2447</v>
      </c>
      <c r="B927" s="71" t="s">
        <v>4062</v>
      </c>
      <c r="C927" s="71"/>
      <c r="D927" s="71" t="s">
        <v>2448</v>
      </c>
      <c r="E927" s="72">
        <v>806000</v>
      </c>
      <c r="F927" s="73">
        <v>40472</v>
      </c>
      <c r="G927" s="74"/>
      <c r="H927" s="71"/>
      <c r="I927" s="71"/>
      <c r="J927" s="71"/>
      <c r="K927" s="71"/>
      <c r="L927" s="76"/>
    </row>
    <row r="928" spans="1:12">
      <c r="A928" s="71" t="s">
        <v>2449</v>
      </c>
      <c r="B928" s="71" t="s">
        <v>4062</v>
      </c>
      <c r="C928" s="71"/>
      <c r="D928" s="71" t="s">
        <v>2450</v>
      </c>
      <c r="E928" s="72">
        <v>709760</v>
      </c>
      <c r="F928" s="73">
        <v>40472</v>
      </c>
      <c r="G928" s="74"/>
      <c r="H928" s="71"/>
      <c r="I928" s="71"/>
      <c r="J928" s="71"/>
      <c r="K928" s="71"/>
      <c r="L928" s="76"/>
    </row>
    <row r="929" spans="1:12">
      <c r="A929" s="71" t="s">
        <v>2451</v>
      </c>
      <c r="B929" s="71" t="s">
        <v>4062</v>
      </c>
      <c r="C929" s="71"/>
      <c r="D929" s="71" t="s">
        <v>2452</v>
      </c>
      <c r="E929" s="72">
        <v>750368</v>
      </c>
      <c r="F929" s="73">
        <v>40472</v>
      </c>
      <c r="G929" s="74"/>
      <c r="H929" s="71"/>
      <c r="I929" s="71"/>
      <c r="J929" s="71"/>
      <c r="K929" s="71"/>
      <c r="L929" s="76"/>
    </row>
    <row r="930" spans="1:12">
      <c r="A930" s="71" t="s">
        <v>2453</v>
      </c>
      <c r="B930" s="71" t="s">
        <v>4062</v>
      </c>
      <c r="C930" s="71"/>
      <c r="D930" s="71" t="s">
        <v>2454</v>
      </c>
      <c r="E930" s="72">
        <v>70000</v>
      </c>
      <c r="F930" s="73">
        <v>40457</v>
      </c>
      <c r="G930" s="74"/>
      <c r="H930" s="71"/>
      <c r="I930" s="71"/>
      <c r="J930" s="71"/>
      <c r="K930" s="71"/>
      <c r="L930" s="76"/>
    </row>
    <row r="931" spans="1:12">
      <c r="A931" s="71" t="s">
        <v>2455</v>
      </c>
      <c r="B931" s="71" t="s">
        <v>4062</v>
      </c>
      <c r="C931" s="71"/>
      <c r="D931" s="71" t="s">
        <v>2456</v>
      </c>
      <c r="E931" s="72">
        <v>83572</v>
      </c>
      <c r="F931" s="73">
        <v>40457</v>
      </c>
      <c r="G931" s="74"/>
      <c r="H931" s="71"/>
      <c r="I931" s="71"/>
      <c r="J931" s="71"/>
      <c r="K931" s="71"/>
      <c r="L931" s="76"/>
    </row>
    <row r="932" spans="1:12">
      <c r="A932" s="71" t="s">
        <v>2457</v>
      </c>
      <c r="B932" s="71" t="s">
        <v>4062</v>
      </c>
      <c r="C932" s="71"/>
      <c r="D932" s="71" t="s">
        <v>2458</v>
      </c>
      <c r="E932" s="72">
        <v>103000</v>
      </c>
      <c r="F932" s="73">
        <v>40458</v>
      </c>
      <c r="G932" s="74"/>
      <c r="H932" s="71"/>
      <c r="I932" s="71"/>
      <c r="J932" s="71"/>
      <c r="K932" s="71"/>
      <c r="L932" s="76"/>
    </row>
    <row r="933" spans="1:12">
      <c r="A933" s="71" t="s">
        <v>2459</v>
      </c>
      <c r="B933" s="71" t="s">
        <v>4062</v>
      </c>
      <c r="C933" s="71"/>
      <c r="D933" s="71" t="s">
        <v>2460</v>
      </c>
      <c r="E933" s="72">
        <v>100000</v>
      </c>
      <c r="F933" s="73">
        <v>40468</v>
      </c>
      <c r="G933" s="74"/>
      <c r="H933" s="71"/>
      <c r="I933" s="71"/>
      <c r="J933" s="71"/>
      <c r="K933" s="71"/>
      <c r="L933" s="76"/>
    </row>
    <row r="934" spans="1:12">
      <c r="A934" s="71" t="s">
        <v>2461</v>
      </c>
      <c r="B934" s="71" t="s">
        <v>4038</v>
      </c>
      <c r="C934" s="71"/>
      <c r="D934" s="71" t="s">
        <v>2462</v>
      </c>
      <c r="E934" s="72">
        <v>5400000</v>
      </c>
      <c r="F934" s="73">
        <v>40465</v>
      </c>
      <c r="G934" s="74"/>
      <c r="H934" s="71"/>
      <c r="I934" s="71"/>
      <c r="J934" s="71"/>
      <c r="K934" s="71"/>
      <c r="L934" s="76"/>
    </row>
    <row r="935" spans="1:12">
      <c r="A935" s="71" t="s">
        <v>2463</v>
      </c>
      <c r="B935" s="71" t="s">
        <v>4066</v>
      </c>
      <c r="C935" s="71"/>
      <c r="D935" s="71" t="s">
        <v>2464</v>
      </c>
      <c r="E935" s="72">
        <v>500000</v>
      </c>
      <c r="F935" s="73">
        <v>40493</v>
      </c>
      <c r="G935" s="74"/>
      <c r="H935" s="71"/>
      <c r="I935" s="71"/>
      <c r="J935" s="71"/>
      <c r="K935" s="71"/>
      <c r="L935" s="76"/>
    </row>
    <row r="936" spans="1:12">
      <c r="A936" s="71" t="s">
        <v>2465</v>
      </c>
      <c r="B936" s="71" t="s">
        <v>4062</v>
      </c>
      <c r="C936" s="71"/>
      <c r="D936" s="71" t="s">
        <v>2466</v>
      </c>
      <c r="E936" s="72">
        <v>175000</v>
      </c>
      <c r="F936" s="73">
        <v>40472</v>
      </c>
      <c r="G936" s="74"/>
      <c r="H936" s="71"/>
      <c r="I936" s="71"/>
      <c r="J936" s="71"/>
      <c r="K936" s="71"/>
      <c r="L936" s="76"/>
    </row>
    <row r="937" spans="1:12">
      <c r="A937" s="71" t="s">
        <v>2467</v>
      </c>
      <c r="B937" s="71" t="s">
        <v>4062</v>
      </c>
      <c r="C937" s="71"/>
      <c r="D937" s="71" t="s">
        <v>2468</v>
      </c>
      <c r="E937" s="72">
        <v>185000</v>
      </c>
      <c r="F937" s="73">
        <v>40472</v>
      </c>
      <c r="G937" s="74"/>
      <c r="H937" s="71"/>
      <c r="I937" s="71"/>
      <c r="J937" s="71"/>
      <c r="K937" s="71"/>
      <c r="L937" s="76"/>
    </row>
    <row r="938" spans="1:12">
      <c r="A938" s="71" t="s">
        <v>2469</v>
      </c>
      <c r="B938" s="71" t="s">
        <v>4133</v>
      </c>
      <c r="C938" s="71"/>
      <c r="D938" s="71" t="s">
        <v>2470</v>
      </c>
      <c r="E938" s="72">
        <v>30000000</v>
      </c>
      <c r="F938" s="73">
        <v>40499</v>
      </c>
      <c r="G938" s="74"/>
      <c r="H938" s="71"/>
      <c r="I938" s="71"/>
      <c r="J938" s="71"/>
      <c r="K938" s="71"/>
      <c r="L938" s="76"/>
    </row>
    <row r="939" spans="1:12">
      <c r="A939" s="71" t="s">
        <v>2471</v>
      </c>
      <c r="B939" s="71" t="s">
        <v>3481</v>
      </c>
      <c r="C939" s="71"/>
      <c r="D939" s="71" t="s">
        <v>2472</v>
      </c>
      <c r="E939" s="72">
        <v>225000</v>
      </c>
      <c r="F939" s="73">
        <v>40465</v>
      </c>
      <c r="G939" s="74"/>
      <c r="H939" s="71"/>
      <c r="I939" s="71"/>
      <c r="J939" s="71"/>
      <c r="K939" s="71"/>
      <c r="L939" s="76"/>
    </row>
    <row r="940" spans="1:12">
      <c r="A940" s="71" t="s">
        <v>2473</v>
      </c>
      <c r="B940" s="71" t="s">
        <v>4062</v>
      </c>
      <c r="C940" s="71"/>
      <c r="D940" s="71" t="s">
        <v>2474</v>
      </c>
      <c r="E940" s="72">
        <v>128615</v>
      </c>
      <c r="F940" s="73">
        <v>40456</v>
      </c>
      <c r="G940" s="74"/>
      <c r="H940" s="71"/>
      <c r="I940" s="71"/>
      <c r="J940" s="71"/>
      <c r="K940" s="71"/>
      <c r="L940" s="76"/>
    </row>
    <row r="941" spans="1:12">
      <c r="A941" s="71" t="s">
        <v>2475</v>
      </c>
      <c r="B941" s="71" t="s">
        <v>4062</v>
      </c>
      <c r="C941" s="71"/>
      <c r="D941" s="71" t="s">
        <v>2476</v>
      </c>
      <c r="E941" s="72">
        <v>5036000</v>
      </c>
      <c r="F941" s="73">
        <v>40456</v>
      </c>
      <c r="G941" s="74"/>
      <c r="H941" s="71"/>
      <c r="I941" s="71"/>
      <c r="J941" s="71"/>
      <c r="K941" s="71"/>
      <c r="L941" s="76"/>
    </row>
    <row r="942" spans="1:12">
      <c r="A942" s="71" t="s">
        <v>2477</v>
      </c>
      <c r="B942" s="71" t="s">
        <v>4062</v>
      </c>
      <c r="C942" s="71"/>
      <c r="D942" s="71" t="s">
        <v>2478</v>
      </c>
      <c r="E942" s="72">
        <v>100000</v>
      </c>
      <c r="F942" s="73">
        <v>40471</v>
      </c>
      <c r="G942" s="74"/>
      <c r="H942" s="71"/>
      <c r="I942" s="71"/>
      <c r="J942" s="71"/>
      <c r="K942" s="71"/>
      <c r="L942" s="76"/>
    </row>
    <row r="943" spans="1:12">
      <c r="A943" s="71" t="s">
        <v>2479</v>
      </c>
      <c r="B943" s="71" t="s">
        <v>4062</v>
      </c>
      <c r="C943" s="71"/>
      <c r="D943" s="71" t="s">
        <v>2480</v>
      </c>
      <c r="E943" s="72">
        <v>100000</v>
      </c>
      <c r="F943" s="73">
        <v>40471</v>
      </c>
      <c r="G943" s="74"/>
      <c r="H943" s="71"/>
      <c r="I943" s="71"/>
      <c r="J943" s="71"/>
      <c r="K943" s="71"/>
      <c r="L943" s="76"/>
    </row>
    <row r="944" spans="1:12">
      <c r="A944" s="71" t="s">
        <v>2481</v>
      </c>
      <c r="B944" s="71" t="s">
        <v>4186</v>
      </c>
      <c r="C944" s="71"/>
      <c r="D944" s="71" t="s">
        <v>2482</v>
      </c>
      <c r="E944" s="72">
        <v>175000</v>
      </c>
      <c r="F944" s="73">
        <v>40457</v>
      </c>
      <c r="G944" s="74"/>
      <c r="H944" s="71"/>
      <c r="I944" s="71"/>
      <c r="J944" s="71"/>
      <c r="K944" s="71"/>
      <c r="L944" s="76"/>
    </row>
    <row r="945" spans="1:12">
      <c r="A945" s="71" t="s">
        <v>2483</v>
      </c>
      <c r="B945" s="71" t="s">
        <v>3259</v>
      </c>
      <c r="C945" s="71"/>
      <c r="D945" s="71" t="s">
        <v>2484</v>
      </c>
      <c r="E945" s="72">
        <v>10200000</v>
      </c>
      <c r="F945" s="73">
        <v>40452</v>
      </c>
      <c r="G945" s="74"/>
      <c r="H945" s="71"/>
      <c r="I945" s="71"/>
      <c r="J945" s="71"/>
      <c r="K945" s="71"/>
      <c r="L945" s="76"/>
    </row>
    <row r="946" spans="1:12">
      <c r="A946" s="71" t="s">
        <v>2485</v>
      </c>
      <c r="B946" s="71" t="s">
        <v>3410</v>
      </c>
      <c r="C946" s="71"/>
      <c r="D946" s="71" t="s">
        <v>2486</v>
      </c>
      <c r="E946" s="72">
        <v>7250000</v>
      </c>
      <c r="F946" s="73">
        <v>40497</v>
      </c>
      <c r="G946" s="74"/>
      <c r="H946" s="71"/>
      <c r="I946" s="71"/>
      <c r="J946" s="71"/>
      <c r="K946" s="71"/>
      <c r="L946" s="76"/>
    </row>
    <row r="947" spans="1:12">
      <c r="A947" s="71" t="s">
        <v>2487</v>
      </c>
      <c r="B947" s="71" t="s">
        <v>4147</v>
      </c>
      <c r="C947" s="71"/>
      <c r="D947" s="71" t="s">
        <v>2335</v>
      </c>
      <c r="E947" s="72">
        <v>300000</v>
      </c>
      <c r="F947" s="73">
        <v>40472</v>
      </c>
      <c r="G947" s="74"/>
      <c r="H947" s="71"/>
      <c r="I947" s="71"/>
      <c r="J947" s="71"/>
      <c r="K947" s="71"/>
      <c r="L947" s="76"/>
    </row>
    <row r="948" spans="1:12" ht="22.5">
      <c r="A948" s="71" t="s">
        <v>2488</v>
      </c>
      <c r="B948" s="71" t="s">
        <v>4128</v>
      </c>
      <c r="C948" s="71"/>
      <c r="D948" s="71" t="s">
        <v>2489</v>
      </c>
      <c r="E948" s="72">
        <v>15700000</v>
      </c>
      <c r="F948" s="73">
        <v>40469</v>
      </c>
      <c r="G948" s="74"/>
      <c r="H948" s="71"/>
      <c r="I948" s="71"/>
      <c r="J948" s="71"/>
      <c r="K948" s="71"/>
      <c r="L948" s="76"/>
    </row>
    <row r="949" spans="1:12">
      <c r="A949" s="71" t="s">
        <v>2490</v>
      </c>
      <c r="B949" s="71" t="s">
        <v>3259</v>
      </c>
      <c r="C949" s="71"/>
      <c r="D949" s="71" t="s">
        <v>2491</v>
      </c>
      <c r="E949" s="72">
        <v>465780</v>
      </c>
      <c r="F949" s="73">
        <v>40452</v>
      </c>
      <c r="G949" s="74"/>
      <c r="H949" s="71"/>
      <c r="I949" s="71"/>
      <c r="J949" s="71"/>
      <c r="K949" s="71"/>
      <c r="L949" s="76"/>
    </row>
    <row r="950" spans="1:12">
      <c r="A950" s="71" t="s">
        <v>2492</v>
      </c>
      <c r="B950" s="71" t="s">
        <v>4137</v>
      </c>
      <c r="C950" s="71"/>
      <c r="D950" s="71" t="s">
        <v>2493</v>
      </c>
      <c r="E950" s="72">
        <v>100000</v>
      </c>
      <c r="F950" s="73">
        <v>40452</v>
      </c>
      <c r="G950" s="74"/>
      <c r="H950" s="71"/>
      <c r="I950" s="71"/>
      <c r="J950" s="71"/>
      <c r="K950" s="71"/>
      <c r="L950" s="76"/>
    </row>
    <row r="951" spans="1:12">
      <c r="A951" s="17" t="s">
        <v>2498</v>
      </c>
      <c r="E951" s="104">
        <f>SUM(E912:E950)</f>
        <v>137696966</v>
      </c>
    </row>
  </sheetData>
  <phoneticPr fontId="0" type="noConversion"/>
  <pageMargins left="0.75" right="0.75" top="1" bottom="1" header="0.5" footer="0.5"/>
  <headerFooter alignWithMargins="0"/>
  <ignoredErrors>
    <ignoredError sqref="E46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5"/>
  <sheetViews>
    <sheetView workbookViewId="0"/>
  </sheetViews>
  <sheetFormatPr defaultRowHeight="12.75"/>
  <cols>
    <col min="3" max="3" width="31.7109375" customWidth="1"/>
    <col min="4" max="4" width="50.5703125" customWidth="1"/>
    <col min="5" max="5" width="17.7109375" bestFit="1" customWidth="1"/>
  </cols>
  <sheetData>
    <row r="1" spans="1:12">
      <c r="A1" s="8" t="s">
        <v>2499</v>
      </c>
      <c r="B1" s="8"/>
      <c r="C1" s="8"/>
      <c r="D1" s="106">
        <f>E78</f>
        <v>157445462.69</v>
      </c>
    </row>
    <row r="2" spans="1:12">
      <c r="A2" s="8" t="s">
        <v>2500</v>
      </c>
      <c r="B2" s="8"/>
      <c r="C2" s="8"/>
      <c r="D2" s="106">
        <f>E182</f>
        <v>166181485.74000001</v>
      </c>
    </row>
    <row r="3" spans="1:12">
      <c r="A3" s="8" t="s">
        <v>2501</v>
      </c>
      <c r="B3" s="8"/>
      <c r="C3" s="8"/>
      <c r="D3" s="106">
        <f>E205</f>
        <v>11921186</v>
      </c>
      <c r="E3" s="105" t="s">
        <v>2502</v>
      </c>
    </row>
    <row r="4" spans="1:12" ht="32.25" customHeight="1">
      <c r="E4" s="103"/>
    </row>
    <row r="5" spans="1:12">
      <c r="A5" s="71" t="s">
        <v>4061</v>
      </c>
      <c r="B5" s="71" t="s">
        <v>4062</v>
      </c>
      <c r="C5" s="71" t="s">
        <v>4063</v>
      </c>
      <c r="D5" s="71" t="s">
        <v>4064</v>
      </c>
      <c r="E5" s="72">
        <v>3519600</v>
      </c>
      <c r="F5" s="73">
        <v>39737</v>
      </c>
      <c r="G5" s="74">
        <v>39870</v>
      </c>
      <c r="H5" s="75">
        <v>39871</v>
      </c>
      <c r="I5" s="71"/>
      <c r="J5" s="71"/>
      <c r="K5" s="71"/>
      <c r="L5" s="76"/>
    </row>
    <row r="6" spans="1:12" ht="22.5">
      <c r="A6" s="71" t="s">
        <v>4108</v>
      </c>
      <c r="B6" s="71" t="s">
        <v>4062</v>
      </c>
      <c r="C6" s="71" t="s">
        <v>4109</v>
      </c>
      <c r="D6" s="71" t="s">
        <v>4110</v>
      </c>
      <c r="E6" s="72">
        <v>419000</v>
      </c>
      <c r="F6" s="73" t="s">
        <v>4111</v>
      </c>
      <c r="G6" s="74">
        <v>39773</v>
      </c>
      <c r="H6" s="75">
        <v>39791</v>
      </c>
      <c r="I6" s="71"/>
      <c r="J6" s="71"/>
      <c r="K6" s="71"/>
      <c r="L6" s="76"/>
    </row>
    <row r="7" spans="1:12">
      <c r="A7" s="71" t="s">
        <v>4136</v>
      </c>
      <c r="B7" s="71" t="s">
        <v>4137</v>
      </c>
      <c r="C7" s="71" t="s">
        <v>4138</v>
      </c>
      <c r="D7" s="71" t="s">
        <v>4139</v>
      </c>
      <c r="E7" s="72">
        <v>327850</v>
      </c>
      <c r="F7" s="73">
        <v>39722</v>
      </c>
      <c r="G7" s="74">
        <v>40166</v>
      </c>
      <c r="H7" s="75">
        <v>39902</v>
      </c>
      <c r="I7" s="75">
        <v>39940</v>
      </c>
      <c r="J7" s="75">
        <v>40052</v>
      </c>
      <c r="K7" s="71" t="s">
        <v>4079</v>
      </c>
      <c r="L7" s="76"/>
    </row>
    <row r="8" spans="1:12">
      <c r="A8" s="71" t="s">
        <v>4170</v>
      </c>
      <c r="B8" s="71" t="s">
        <v>4137</v>
      </c>
      <c r="C8" s="71" t="s">
        <v>4171</v>
      </c>
      <c r="D8" s="71" t="s">
        <v>4172</v>
      </c>
      <c r="E8" s="72">
        <v>157240</v>
      </c>
      <c r="F8" s="73">
        <v>39742</v>
      </c>
      <c r="G8" s="74">
        <v>39784</v>
      </c>
      <c r="H8" s="75">
        <v>39784</v>
      </c>
      <c r="I8" s="71" t="s">
        <v>4173</v>
      </c>
      <c r="J8" s="71"/>
      <c r="K8" s="71"/>
      <c r="L8" s="76"/>
    </row>
    <row r="9" spans="1:12">
      <c r="A9" s="71" t="s">
        <v>4182</v>
      </c>
      <c r="B9" s="71" t="s">
        <v>4137</v>
      </c>
      <c r="C9" s="71" t="s">
        <v>4183</v>
      </c>
      <c r="D9" s="71" t="s">
        <v>4184</v>
      </c>
      <c r="E9" s="72">
        <v>115400</v>
      </c>
      <c r="F9" s="73">
        <v>39736</v>
      </c>
      <c r="G9" s="74">
        <v>39766</v>
      </c>
      <c r="H9" s="75">
        <v>39812</v>
      </c>
      <c r="I9" s="75">
        <v>39828</v>
      </c>
      <c r="J9" s="75">
        <v>39979</v>
      </c>
      <c r="K9" s="71" t="s">
        <v>4079</v>
      </c>
      <c r="L9" s="76"/>
    </row>
    <row r="10" spans="1:12">
      <c r="A10" s="71" t="s">
        <v>4209</v>
      </c>
      <c r="B10" s="71" t="s">
        <v>4062</v>
      </c>
      <c r="C10" s="71" t="s">
        <v>4210</v>
      </c>
      <c r="D10" s="71" t="s">
        <v>4211</v>
      </c>
      <c r="E10" s="72">
        <v>317500</v>
      </c>
      <c r="F10" s="73">
        <v>39730</v>
      </c>
      <c r="G10" s="74">
        <v>39772</v>
      </c>
      <c r="H10" s="75">
        <v>39791</v>
      </c>
      <c r="I10" s="71"/>
      <c r="J10" s="71"/>
      <c r="K10" s="71"/>
      <c r="L10" s="76"/>
    </row>
    <row r="11" spans="1:12">
      <c r="A11" s="71" t="s">
        <v>4220</v>
      </c>
      <c r="B11" s="71" t="s">
        <v>4062</v>
      </c>
      <c r="C11" s="71" t="s">
        <v>4183</v>
      </c>
      <c r="D11" s="71" t="s">
        <v>4221</v>
      </c>
      <c r="E11" s="72">
        <v>1765610</v>
      </c>
      <c r="F11" s="73">
        <v>39764</v>
      </c>
      <c r="G11" s="74">
        <v>39915</v>
      </c>
      <c r="H11" s="75">
        <v>39791</v>
      </c>
      <c r="I11" s="71"/>
      <c r="J11" s="71"/>
      <c r="K11" s="71"/>
      <c r="L11" s="76"/>
    </row>
    <row r="12" spans="1:12">
      <c r="A12" s="71" t="s">
        <v>4222</v>
      </c>
      <c r="B12" s="71" t="s">
        <v>4062</v>
      </c>
      <c r="C12" s="71" t="s">
        <v>4109</v>
      </c>
      <c r="D12" s="71" t="s">
        <v>4223</v>
      </c>
      <c r="E12" s="72">
        <v>1739000</v>
      </c>
      <c r="F12" s="73">
        <v>39764</v>
      </c>
      <c r="G12" s="74">
        <v>39915</v>
      </c>
      <c r="H12" s="75">
        <v>39791</v>
      </c>
      <c r="I12" s="71"/>
      <c r="J12" s="71"/>
      <c r="K12" s="71"/>
      <c r="L12" s="76"/>
    </row>
    <row r="13" spans="1:12">
      <c r="A13" s="85" t="s">
        <v>4230</v>
      </c>
      <c r="B13" s="71" t="s">
        <v>4231</v>
      </c>
      <c r="C13" s="71" t="s">
        <v>4232</v>
      </c>
      <c r="D13" s="71" t="s">
        <v>4233</v>
      </c>
      <c r="E13" s="72">
        <v>4000000</v>
      </c>
      <c r="F13" s="73">
        <v>39726</v>
      </c>
      <c r="G13" s="74">
        <v>39766</v>
      </c>
      <c r="H13" s="75">
        <v>39849</v>
      </c>
      <c r="I13" s="71"/>
      <c r="J13" s="71"/>
      <c r="K13" s="71"/>
      <c r="L13" s="76"/>
    </row>
    <row r="14" spans="1:12">
      <c r="A14" s="85" t="s">
        <v>4235</v>
      </c>
      <c r="B14" s="71" t="s">
        <v>4062</v>
      </c>
      <c r="C14" s="71" t="s">
        <v>4171</v>
      </c>
      <c r="D14" s="71" t="s">
        <v>4236</v>
      </c>
      <c r="E14" s="72">
        <v>1443443</v>
      </c>
      <c r="F14" s="73">
        <v>39750</v>
      </c>
      <c r="G14" s="74">
        <v>39758</v>
      </c>
      <c r="H14" s="75">
        <v>39776</v>
      </c>
      <c r="I14" s="71"/>
      <c r="J14" s="71"/>
      <c r="K14" s="71"/>
      <c r="L14" s="76"/>
    </row>
    <row r="15" spans="1:12">
      <c r="A15" s="85" t="s">
        <v>4240</v>
      </c>
      <c r="B15" s="71" t="s">
        <v>4062</v>
      </c>
      <c r="C15" s="71" t="s">
        <v>4241</v>
      </c>
      <c r="D15" s="71" t="s">
        <v>4242</v>
      </c>
      <c r="E15" s="72">
        <v>180000</v>
      </c>
      <c r="F15" s="73">
        <v>39750</v>
      </c>
      <c r="G15" s="74"/>
      <c r="H15" s="71"/>
      <c r="I15" s="71"/>
      <c r="J15" s="71"/>
      <c r="K15" s="71" t="s">
        <v>4049</v>
      </c>
      <c r="L15" s="76"/>
    </row>
    <row r="16" spans="1:12">
      <c r="A16" s="85" t="s">
        <v>4243</v>
      </c>
      <c r="B16" s="71" t="s">
        <v>4062</v>
      </c>
      <c r="C16" s="71" t="s">
        <v>4244</v>
      </c>
      <c r="D16" s="71" t="s">
        <v>4245</v>
      </c>
      <c r="E16" s="72">
        <v>2198000</v>
      </c>
      <c r="F16" s="73">
        <v>39785</v>
      </c>
      <c r="G16" s="74">
        <v>39821</v>
      </c>
      <c r="H16" s="75">
        <v>39794</v>
      </c>
      <c r="I16" s="71"/>
      <c r="J16" s="71"/>
      <c r="K16" s="71"/>
      <c r="L16" s="76"/>
    </row>
    <row r="17" spans="1:12" ht="22.5">
      <c r="A17" s="85" t="s">
        <v>4249</v>
      </c>
      <c r="B17" s="71" t="s">
        <v>4062</v>
      </c>
      <c r="C17" s="71" t="s">
        <v>4084</v>
      </c>
      <c r="D17" s="71" t="s">
        <v>4250</v>
      </c>
      <c r="E17" s="72">
        <v>689000</v>
      </c>
      <c r="F17" s="73">
        <v>39764</v>
      </c>
      <c r="G17" s="74">
        <v>39793</v>
      </c>
      <c r="H17" s="75">
        <v>39794</v>
      </c>
      <c r="I17" s="71"/>
      <c r="J17" s="71"/>
      <c r="K17" s="71"/>
      <c r="L17" s="76"/>
    </row>
    <row r="18" spans="1:12">
      <c r="A18" s="85" t="s">
        <v>4270</v>
      </c>
      <c r="B18" s="71" t="s">
        <v>4062</v>
      </c>
      <c r="C18" s="71" t="s">
        <v>4241</v>
      </c>
      <c r="D18" s="71" t="s">
        <v>4271</v>
      </c>
      <c r="E18" s="72">
        <v>100000</v>
      </c>
      <c r="F18" s="73">
        <v>39751</v>
      </c>
      <c r="G18" s="74"/>
      <c r="H18" s="71"/>
      <c r="I18" s="71"/>
      <c r="J18" s="71"/>
      <c r="K18" s="71" t="s">
        <v>4049</v>
      </c>
      <c r="L18" s="76"/>
    </row>
    <row r="19" spans="1:12" ht="22.5">
      <c r="A19" s="85" t="s">
        <v>4286</v>
      </c>
      <c r="B19" s="71" t="s">
        <v>4137</v>
      </c>
      <c r="C19" s="71" t="s">
        <v>4232</v>
      </c>
      <c r="D19" s="71" t="s">
        <v>4287</v>
      </c>
      <c r="E19" s="72">
        <v>4319454</v>
      </c>
      <c r="F19" s="73">
        <v>39735</v>
      </c>
      <c r="G19" s="74">
        <v>39819</v>
      </c>
      <c r="H19" s="75">
        <v>39903</v>
      </c>
      <c r="I19" s="71"/>
      <c r="J19" s="71"/>
      <c r="K19" s="71"/>
      <c r="L19" s="76"/>
    </row>
    <row r="20" spans="1:12">
      <c r="A20" s="85" t="s">
        <v>4288</v>
      </c>
      <c r="B20" s="71" t="s">
        <v>4062</v>
      </c>
      <c r="C20" s="71" t="s">
        <v>4289</v>
      </c>
      <c r="D20" s="71" t="s">
        <v>4290</v>
      </c>
      <c r="E20" s="72">
        <v>869700</v>
      </c>
      <c r="F20" s="73">
        <v>39856</v>
      </c>
      <c r="G20" s="74">
        <v>39884</v>
      </c>
      <c r="H20" s="75">
        <v>39885</v>
      </c>
      <c r="I20" s="71"/>
      <c r="J20" s="71"/>
      <c r="K20" s="71"/>
      <c r="L20" s="76"/>
    </row>
    <row r="21" spans="1:12">
      <c r="A21" s="85" t="s">
        <v>4291</v>
      </c>
      <c r="B21" s="71" t="s">
        <v>4062</v>
      </c>
      <c r="C21" s="71" t="s">
        <v>4187</v>
      </c>
      <c r="D21" s="71" t="s">
        <v>4292</v>
      </c>
      <c r="E21" s="72">
        <v>376000</v>
      </c>
      <c r="F21" s="73">
        <v>39616</v>
      </c>
      <c r="G21" s="74">
        <v>39947</v>
      </c>
      <c r="H21" s="75">
        <v>39948</v>
      </c>
      <c r="I21" s="71"/>
      <c r="J21" s="71"/>
      <c r="K21" s="71"/>
      <c r="L21" s="76"/>
    </row>
    <row r="22" spans="1:12">
      <c r="A22" s="85" t="s">
        <v>4293</v>
      </c>
      <c r="B22" s="71" t="s">
        <v>4137</v>
      </c>
      <c r="C22" s="71" t="s">
        <v>4294</v>
      </c>
      <c r="D22" s="71" t="s">
        <v>4295</v>
      </c>
      <c r="E22" s="72">
        <v>97300</v>
      </c>
      <c r="F22" s="73">
        <v>39743</v>
      </c>
      <c r="G22" s="74">
        <v>39827</v>
      </c>
      <c r="H22" s="75">
        <v>39834</v>
      </c>
      <c r="I22" s="71"/>
      <c r="J22" s="71"/>
      <c r="K22" s="71"/>
      <c r="L22" s="76"/>
    </row>
    <row r="23" spans="1:12" ht="22.5">
      <c r="A23" s="85" t="s">
        <v>4296</v>
      </c>
      <c r="B23" s="71" t="s">
        <v>4062</v>
      </c>
      <c r="C23" s="71" t="s">
        <v>4210</v>
      </c>
      <c r="D23" s="71" t="s">
        <v>4297</v>
      </c>
      <c r="E23" s="72">
        <v>355000</v>
      </c>
      <c r="F23" s="73">
        <v>39771</v>
      </c>
      <c r="G23" s="74">
        <v>39884</v>
      </c>
      <c r="H23" s="75">
        <v>39885</v>
      </c>
      <c r="I23" s="71"/>
      <c r="J23" s="71"/>
      <c r="K23" s="71"/>
      <c r="L23" s="76"/>
    </row>
    <row r="24" spans="1:12" ht="22.5">
      <c r="A24" s="85" t="s">
        <v>4300</v>
      </c>
      <c r="B24" s="71" t="s">
        <v>4062</v>
      </c>
      <c r="C24" s="71" t="s">
        <v>4301</v>
      </c>
      <c r="D24" s="71" t="s">
        <v>4302</v>
      </c>
      <c r="E24" s="72">
        <v>249500</v>
      </c>
      <c r="F24" s="73">
        <v>39765</v>
      </c>
      <c r="G24" s="74">
        <v>39773</v>
      </c>
      <c r="H24" s="75">
        <v>39773</v>
      </c>
      <c r="I24" s="71"/>
      <c r="J24" s="71"/>
      <c r="K24" s="71"/>
      <c r="L24" s="76"/>
    </row>
    <row r="25" spans="1:12">
      <c r="A25" s="85" t="s">
        <v>4309</v>
      </c>
      <c r="B25" s="71" t="s">
        <v>4062</v>
      </c>
      <c r="C25" s="71" t="s">
        <v>4310</v>
      </c>
      <c r="D25" s="71" t="s">
        <v>4311</v>
      </c>
      <c r="E25" s="72">
        <v>538470</v>
      </c>
      <c r="F25" s="73">
        <v>39766</v>
      </c>
      <c r="G25" s="74">
        <v>39772</v>
      </c>
      <c r="H25" s="75">
        <v>39776</v>
      </c>
      <c r="I25" s="71"/>
      <c r="J25" s="71"/>
      <c r="K25" s="71"/>
      <c r="L25" s="76"/>
    </row>
    <row r="26" spans="1:12" ht="22.5">
      <c r="A26" s="85" t="s">
        <v>4312</v>
      </c>
      <c r="B26" s="71" t="s">
        <v>4062</v>
      </c>
      <c r="C26" s="71" t="s">
        <v>4210</v>
      </c>
      <c r="D26" s="71" t="s">
        <v>4313</v>
      </c>
      <c r="E26" s="72">
        <v>132000</v>
      </c>
      <c r="F26" s="73">
        <v>39778</v>
      </c>
      <c r="G26" s="74">
        <v>39821</v>
      </c>
      <c r="H26" s="75">
        <v>39822</v>
      </c>
      <c r="I26" s="71"/>
      <c r="J26" s="71"/>
      <c r="K26" s="71"/>
      <c r="L26" s="76"/>
    </row>
    <row r="27" spans="1:12" ht="22.5">
      <c r="A27" s="85" t="s">
        <v>4328</v>
      </c>
      <c r="B27" s="71" t="s">
        <v>4231</v>
      </c>
      <c r="C27" s="71" t="s">
        <v>4329</v>
      </c>
      <c r="D27" s="71" t="s">
        <v>4330</v>
      </c>
      <c r="E27" s="72">
        <v>6000000</v>
      </c>
      <c r="F27" s="73">
        <v>39839</v>
      </c>
      <c r="G27" s="74">
        <v>39842</v>
      </c>
      <c r="H27" s="75">
        <v>39849</v>
      </c>
      <c r="I27" s="71"/>
      <c r="J27" s="71"/>
      <c r="K27" s="71"/>
      <c r="L27" s="76"/>
    </row>
    <row r="28" spans="1:12" ht="22.5">
      <c r="A28" s="71" t="s">
        <v>4397</v>
      </c>
      <c r="B28" s="71" t="s">
        <v>4062</v>
      </c>
      <c r="C28" s="71" t="s">
        <v>4090</v>
      </c>
      <c r="D28" s="71" t="s">
        <v>4398</v>
      </c>
      <c r="E28" s="72">
        <v>685000</v>
      </c>
      <c r="F28" s="73">
        <v>39798</v>
      </c>
      <c r="G28" s="74">
        <v>39835</v>
      </c>
      <c r="H28" s="75">
        <v>39839</v>
      </c>
      <c r="I28" s="71"/>
      <c r="J28" s="71"/>
      <c r="K28" s="71"/>
      <c r="L28" s="76"/>
    </row>
    <row r="29" spans="1:12" ht="22.5">
      <c r="A29" s="71" t="s">
        <v>4438</v>
      </c>
      <c r="B29" s="71" t="s">
        <v>4062</v>
      </c>
      <c r="C29" s="71" t="s">
        <v>4439</v>
      </c>
      <c r="D29" s="71" t="s">
        <v>4440</v>
      </c>
      <c r="E29" s="72">
        <v>4168138</v>
      </c>
      <c r="F29" s="73">
        <v>39856</v>
      </c>
      <c r="G29" s="74">
        <v>39926</v>
      </c>
      <c r="H29" s="75">
        <v>39927</v>
      </c>
      <c r="I29" s="71"/>
      <c r="J29" s="71"/>
      <c r="K29" s="71"/>
      <c r="L29" s="76"/>
    </row>
    <row r="30" spans="1:12" ht="22.5">
      <c r="A30" s="78" t="s">
        <v>4451</v>
      </c>
      <c r="B30" s="71" t="s">
        <v>4231</v>
      </c>
      <c r="C30" s="71" t="s">
        <v>4329</v>
      </c>
      <c r="D30" s="71" t="s">
        <v>4452</v>
      </c>
      <c r="E30" s="72">
        <v>5613000</v>
      </c>
      <c r="F30" s="73">
        <v>39842</v>
      </c>
      <c r="G30" s="74">
        <v>39965</v>
      </c>
      <c r="H30" s="75">
        <v>39966</v>
      </c>
      <c r="I30" s="71"/>
      <c r="J30" s="71"/>
      <c r="K30" s="71"/>
      <c r="L30" s="76"/>
    </row>
    <row r="31" spans="1:12" ht="22.5">
      <c r="A31" s="78" t="s">
        <v>4453</v>
      </c>
      <c r="B31" s="71" t="s">
        <v>4062</v>
      </c>
      <c r="C31" s="71" t="s">
        <v>4454</v>
      </c>
      <c r="D31" s="71" t="s">
        <v>4455</v>
      </c>
      <c r="E31" s="72">
        <v>264430</v>
      </c>
      <c r="F31" s="73">
        <v>39798</v>
      </c>
      <c r="G31" s="74">
        <v>39821</v>
      </c>
      <c r="H31" s="75">
        <v>39849</v>
      </c>
      <c r="I31" s="71"/>
      <c r="J31" s="71"/>
      <c r="K31" s="71"/>
      <c r="L31" s="76"/>
    </row>
    <row r="32" spans="1:12" ht="22.5">
      <c r="A32" s="78" t="s">
        <v>4458</v>
      </c>
      <c r="B32" s="71" t="s">
        <v>4062</v>
      </c>
      <c r="C32" s="71" t="s">
        <v>4244</v>
      </c>
      <c r="D32" s="71" t="s">
        <v>4459</v>
      </c>
      <c r="E32" s="72">
        <v>3215000</v>
      </c>
      <c r="F32" s="73">
        <v>39849</v>
      </c>
      <c r="G32" s="74">
        <v>39856</v>
      </c>
      <c r="H32" s="75">
        <v>39857</v>
      </c>
      <c r="I32" s="71"/>
      <c r="J32" s="71"/>
      <c r="K32" s="71"/>
      <c r="L32" s="76"/>
    </row>
    <row r="33" spans="1:12" ht="22.5">
      <c r="A33" s="78" t="s">
        <v>4460</v>
      </c>
      <c r="B33" s="71" t="s">
        <v>4062</v>
      </c>
      <c r="C33" s="71" t="s">
        <v>4109</v>
      </c>
      <c r="D33" s="71" t="s">
        <v>4461</v>
      </c>
      <c r="E33" s="72">
        <v>2959000</v>
      </c>
      <c r="F33" s="73">
        <v>39849</v>
      </c>
      <c r="G33" s="74">
        <v>39856</v>
      </c>
      <c r="H33" s="75">
        <v>39857</v>
      </c>
      <c r="I33" s="71"/>
      <c r="J33" s="71"/>
      <c r="K33" s="71"/>
      <c r="L33" s="76"/>
    </row>
    <row r="34" spans="1:12" ht="22.5">
      <c r="A34" s="78" t="s">
        <v>2548</v>
      </c>
      <c r="B34" s="71" t="s">
        <v>4062</v>
      </c>
      <c r="C34" s="71" t="s">
        <v>2549</v>
      </c>
      <c r="D34" s="71" t="s">
        <v>2550</v>
      </c>
      <c r="E34" s="72">
        <v>2424000</v>
      </c>
      <c r="F34" s="73">
        <v>39829</v>
      </c>
      <c r="G34" s="74">
        <v>39856</v>
      </c>
      <c r="H34" s="75">
        <v>39857</v>
      </c>
      <c r="I34" s="71"/>
      <c r="J34" s="71"/>
      <c r="K34" s="71"/>
      <c r="L34" s="76"/>
    </row>
    <row r="35" spans="1:12" ht="22.5">
      <c r="A35" s="78" t="s">
        <v>2577</v>
      </c>
      <c r="B35" s="71" t="s">
        <v>4062</v>
      </c>
      <c r="C35" s="71" t="s">
        <v>4109</v>
      </c>
      <c r="D35" s="71" t="s">
        <v>2578</v>
      </c>
      <c r="E35" s="72">
        <v>3599000</v>
      </c>
      <c r="F35" s="73">
        <v>39836</v>
      </c>
      <c r="G35" s="74">
        <v>39856</v>
      </c>
      <c r="H35" s="75">
        <v>39857</v>
      </c>
      <c r="I35" s="71"/>
      <c r="J35" s="71"/>
      <c r="K35" s="71"/>
      <c r="L35" s="76"/>
    </row>
    <row r="36" spans="1:12" ht="33.75">
      <c r="A36" s="85" t="s">
        <v>2583</v>
      </c>
      <c r="B36" s="71" t="s">
        <v>4062</v>
      </c>
      <c r="C36" s="71" t="s">
        <v>2584</v>
      </c>
      <c r="D36" s="71" t="s">
        <v>2585</v>
      </c>
      <c r="E36" s="72">
        <v>130000</v>
      </c>
      <c r="F36" s="73">
        <v>39814</v>
      </c>
      <c r="G36" s="74"/>
      <c r="H36" s="75"/>
      <c r="I36" s="71"/>
      <c r="J36" s="71"/>
      <c r="K36" s="71" t="s">
        <v>4049</v>
      </c>
      <c r="L36" s="76"/>
    </row>
    <row r="37" spans="1:12" ht="22.5">
      <c r="A37" s="85" t="s">
        <v>2630</v>
      </c>
      <c r="B37" s="71" t="s">
        <v>2631</v>
      </c>
      <c r="C37" s="71" t="s">
        <v>4255</v>
      </c>
      <c r="D37" s="71" t="s">
        <v>2632</v>
      </c>
      <c r="E37" s="72">
        <v>237535</v>
      </c>
      <c r="F37" s="73">
        <v>39840</v>
      </c>
      <c r="G37" s="74">
        <v>39849</v>
      </c>
      <c r="H37" s="75">
        <v>39869</v>
      </c>
      <c r="I37" s="75">
        <v>39938</v>
      </c>
      <c r="J37" s="75">
        <v>39994</v>
      </c>
      <c r="K37" s="71" t="s">
        <v>4079</v>
      </c>
      <c r="L37" s="76"/>
    </row>
    <row r="38" spans="1:12" ht="22.5">
      <c r="A38" s="85" t="s">
        <v>2639</v>
      </c>
      <c r="B38" s="71" t="s">
        <v>4062</v>
      </c>
      <c r="C38" s="71" t="s">
        <v>2640</v>
      </c>
      <c r="D38" s="71" t="s">
        <v>2641</v>
      </c>
      <c r="E38" s="72">
        <v>234850</v>
      </c>
      <c r="F38" s="73">
        <v>39854</v>
      </c>
      <c r="G38" s="74">
        <v>39870</v>
      </c>
      <c r="H38" s="75">
        <v>39871</v>
      </c>
      <c r="I38" s="75">
        <v>40297</v>
      </c>
      <c r="J38" s="75">
        <v>40312</v>
      </c>
      <c r="K38" s="71" t="s">
        <v>4079</v>
      </c>
      <c r="L38" s="76"/>
    </row>
    <row r="39" spans="1:12" ht="22.5">
      <c r="A39" s="85" t="s">
        <v>2704</v>
      </c>
      <c r="B39" s="71" t="s">
        <v>4062</v>
      </c>
      <c r="C39" s="71" t="s">
        <v>4109</v>
      </c>
      <c r="D39" s="71" t="s">
        <v>2705</v>
      </c>
      <c r="E39" s="72">
        <v>639900</v>
      </c>
      <c r="F39" s="73">
        <v>39882</v>
      </c>
      <c r="G39" s="74">
        <v>39898</v>
      </c>
      <c r="H39" s="75">
        <v>39899</v>
      </c>
      <c r="I39" s="71"/>
      <c r="J39" s="71"/>
      <c r="K39" s="71"/>
      <c r="L39" s="76"/>
    </row>
    <row r="40" spans="1:12" ht="22.5">
      <c r="A40" s="85" t="s">
        <v>2706</v>
      </c>
      <c r="B40" s="71" t="s">
        <v>4062</v>
      </c>
      <c r="C40" s="71" t="s">
        <v>4232</v>
      </c>
      <c r="D40" s="71" t="s">
        <v>2707</v>
      </c>
      <c r="E40" s="72">
        <v>16590000</v>
      </c>
      <c r="F40" s="73">
        <v>39946</v>
      </c>
      <c r="G40" s="74">
        <v>39996</v>
      </c>
      <c r="H40" s="75">
        <v>39996</v>
      </c>
      <c r="I40" s="71"/>
      <c r="J40" s="71"/>
      <c r="K40" s="71"/>
      <c r="L40" s="76"/>
    </row>
    <row r="41" spans="1:12" ht="22.5">
      <c r="A41" s="85" t="s">
        <v>2708</v>
      </c>
      <c r="B41" s="71" t="s">
        <v>4062</v>
      </c>
      <c r="C41" s="71" t="s">
        <v>2709</v>
      </c>
      <c r="D41" s="71" t="s">
        <v>2710</v>
      </c>
      <c r="E41" s="72">
        <v>14122700</v>
      </c>
      <c r="F41" s="73">
        <v>39939</v>
      </c>
      <c r="G41" s="74">
        <v>40052</v>
      </c>
      <c r="H41" s="75">
        <v>40053</v>
      </c>
      <c r="I41" s="71"/>
      <c r="J41" s="71"/>
      <c r="K41" s="71"/>
      <c r="L41" s="76"/>
    </row>
    <row r="42" spans="1:12" ht="22.5">
      <c r="A42" s="85" t="s">
        <v>2711</v>
      </c>
      <c r="B42" s="71" t="s">
        <v>4062</v>
      </c>
      <c r="C42" s="71" t="s">
        <v>2712</v>
      </c>
      <c r="D42" s="71" t="s">
        <v>2713</v>
      </c>
      <c r="E42" s="72">
        <v>668197</v>
      </c>
      <c r="F42" s="73">
        <v>39897</v>
      </c>
      <c r="G42" s="74">
        <v>39905</v>
      </c>
      <c r="H42" s="75">
        <v>39906</v>
      </c>
      <c r="I42" s="71" t="s">
        <v>4119</v>
      </c>
      <c r="J42" s="71"/>
      <c r="K42" s="71"/>
      <c r="L42" s="76"/>
    </row>
    <row r="43" spans="1:12" ht="22.5">
      <c r="A43" s="85" t="s">
        <v>2714</v>
      </c>
      <c r="B43" s="71" t="s">
        <v>4062</v>
      </c>
      <c r="C43" s="71" t="s">
        <v>4090</v>
      </c>
      <c r="D43" s="71" t="s">
        <v>2715</v>
      </c>
      <c r="E43" s="72">
        <v>941000</v>
      </c>
      <c r="F43" s="73">
        <v>39891</v>
      </c>
      <c r="G43" s="74">
        <v>39926</v>
      </c>
      <c r="H43" s="75">
        <v>39927</v>
      </c>
      <c r="I43" s="75">
        <v>40318</v>
      </c>
      <c r="J43" s="75">
        <v>40350</v>
      </c>
      <c r="K43" s="71" t="s">
        <v>4079</v>
      </c>
      <c r="L43" s="76"/>
    </row>
    <row r="44" spans="1:12" ht="22.5">
      <c r="A44" s="85" t="s">
        <v>2716</v>
      </c>
      <c r="B44" s="71" t="s">
        <v>4062</v>
      </c>
      <c r="C44" s="71" t="s">
        <v>2717</v>
      </c>
      <c r="D44" s="71" t="s">
        <v>2718</v>
      </c>
      <c r="E44" s="72">
        <v>368401</v>
      </c>
      <c r="F44" s="73">
        <v>39878</v>
      </c>
      <c r="G44" s="74">
        <v>39905</v>
      </c>
      <c r="H44" s="75">
        <v>39906</v>
      </c>
      <c r="I44" s="71"/>
      <c r="J44" s="71"/>
      <c r="K44" s="71"/>
      <c r="L44" s="76"/>
    </row>
    <row r="45" spans="1:12" ht="22.5">
      <c r="A45" s="85" t="s">
        <v>2719</v>
      </c>
      <c r="B45" s="71" t="s">
        <v>4062</v>
      </c>
      <c r="C45" s="71" t="s">
        <v>4232</v>
      </c>
      <c r="D45" s="71" t="s">
        <v>2720</v>
      </c>
      <c r="E45" s="72">
        <v>17894000</v>
      </c>
      <c r="F45" s="73">
        <v>39925</v>
      </c>
      <c r="G45" s="74">
        <v>39996</v>
      </c>
      <c r="H45" s="75">
        <v>39996</v>
      </c>
      <c r="I45" s="71"/>
      <c r="J45" s="71"/>
      <c r="K45" s="71"/>
      <c r="L45" s="76"/>
    </row>
    <row r="46" spans="1:12" ht="22.5">
      <c r="A46" s="85" t="s">
        <v>2721</v>
      </c>
      <c r="B46" s="71" t="s">
        <v>4062</v>
      </c>
      <c r="C46" s="71" t="s">
        <v>2702</v>
      </c>
      <c r="D46" s="71" t="s">
        <v>2722</v>
      </c>
      <c r="E46" s="72">
        <v>14063000</v>
      </c>
      <c r="F46" s="73">
        <v>39932</v>
      </c>
      <c r="G46" s="74">
        <v>39996</v>
      </c>
      <c r="H46" s="75">
        <v>39996</v>
      </c>
      <c r="I46" s="71"/>
      <c r="J46" s="71"/>
      <c r="K46" s="71"/>
      <c r="L46" s="76"/>
    </row>
    <row r="47" spans="1:12" ht="22.5">
      <c r="A47" s="85" t="s">
        <v>2727</v>
      </c>
      <c r="B47" s="71" t="s">
        <v>4062</v>
      </c>
      <c r="C47" s="71" t="s">
        <v>2712</v>
      </c>
      <c r="D47" s="71" t="s">
        <v>2728</v>
      </c>
      <c r="E47" s="72">
        <v>844194</v>
      </c>
      <c r="F47" s="73">
        <v>39906</v>
      </c>
      <c r="G47" s="74">
        <v>39905</v>
      </c>
      <c r="H47" s="75">
        <v>39875</v>
      </c>
      <c r="I47" s="71"/>
      <c r="J47" s="71"/>
      <c r="K47" s="71"/>
      <c r="L47" s="76"/>
    </row>
    <row r="48" spans="1:12" ht="22.5">
      <c r="A48" s="85" t="s">
        <v>2754</v>
      </c>
      <c r="B48" s="71" t="s">
        <v>4137</v>
      </c>
      <c r="C48" s="71" t="s">
        <v>2702</v>
      </c>
      <c r="D48" s="71" t="s">
        <v>2755</v>
      </c>
      <c r="E48" s="72">
        <v>573546</v>
      </c>
      <c r="F48" s="73">
        <v>39910</v>
      </c>
      <c r="G48" s="74">
        <v>39932</v>
      </c>
      <c r="H48" s="75">
        <v>39933</v>
      </c>
      <c r="I48" s="71"/>
      <c r="J48" s="71"/>
      <c r="K48" s="71"/>
      <c r="L48" s="76"/>
    </row>
    <row r="49" spans="1:12" ht="22.5">
      <c r="A49" s="85" t="s">
        <v>2767</v>
      </c>
      <c r="B49" s="71" t="s">
        <v>4062</v>
      </c>
      <c r="C49" s="71" t="s">
        <v>4329</v>
      </c>
      <c r="D49" s="71" t="s">
        <v>2768</v>
      </c>
      <c r="E49" s="72">
        <v>20175000</v>
      </c>
      <c r="F49" s="73">
        <v>39947</v>
      </c>
      <c r="G49" s="74">
        <v>39954</v>
      </c>
      <c r="H49" s="75">
        <v>39955</v>
      </c>
      <c r="I49" s="71"/>
      <c r="J49" s="71"/>
      <c r="K49" s="71"/>
      <c r="L49" s="76"/>
    </row>
    <row r="50" spans="1:12" ht="22.5">
      <c r="A50" s="85" t="s">
        <v>2776</v>
      </c>
      <c r="B50" s="71" t="s">
        <v>4231</v>
      </c>
      <c r="C50" s="71" t="s">
        <v>2603</v>
      </c>
      <c r="D50" s="71" t="s">
        <v>2777</v>
      </c>
      <c r="E50" s="72">
        <v>1000000</v>
      </c>
      <c r="F50" s="73">
        <v>39909</v>
      </c>
      <c r="G50" s="74">
        <v>39904</v>
      </c>
      <c r="H50" s="75">
        <v>39983</v>
      </c>
      <c r="I50" s="71"/>
      <c r="J50" s="71"/>
      <c r="K50" s="71"/>
      <c r="L50" s="76"/>
    </row>
    <row r="51" spans="1:12" ht="22.5">
      <c r="A51" s="85" t="s">
        <v>2778</v>
      </c>
      <c r="B51" s="71" t="s">
        <v>4231</v>
      </c>
      <c r="C51" s="71"/>
      <c r="D51" s="71" t="s">
        <v>2779</v>
      </c>
      <c r="E51" s="72">
        <v>700000</v>
      </c>
      <c r="F51" s="73">
        <v>40026</v>
      </c>
      <c r="G51" s="74"/>
      <c r="H51" s="75"/>
      <c r="I51" s="71"/>
      <c r="J51" s="71"/>
      <c r="K51" s="71"/>
      <c r="L51" s="76"/>
    </row>
    <row r="52" spans="1:12" ht="22.5">
      <c r="A52" s="85" t="s">
        <v>2793</v>
      </c>
      <c r="B52" s="71" t="s">
        <v>4062</v>
      </c>
      <c r="C52" s="71" t="s">
        <v>4096</v>
      </c>
      <c r="D52" s="71" t="s">
        <v>2794</v>
      </c>
      <c r="E52" s="72">
        <v>706485</v>
      </c>
      <c r="F52" s="73">
        <v>39906</v>
      </c>
      <c r="G52" s="74">
        <v>39926</v>
      </c>
      <c r="H52" s="75">
        <v>39927</v>
      </c>
      <c r="I52" s="71"/>
      <c r="J52" s="71"/>
      <c r="K52" s="71"/>
      <c r="L52" s="76"/>
    </row>
    <row r="53" spans="1:12" ht="22.5">
      <c r="A53" s="85" t="s">
        <v>2797</v>
      </c>
      <c r="B53" s="71" t="s">
        <v>4062</v>
      </c>
      <c r="C53" s="71" t="s">
        <v>2798</v>
      </c>
      <c r="D53" s="71" t="s">
        <v>2799</v>
      </c>
      <c r="E53" s="72">
        <v>172480</v>
      </c>
      <c r="F53" s="73">
        <v>39875</v>
      </c>
      <c r="G53" s="74">
        <v>39895</v>
      </c>
      <c r="H53" s="75">
        <v>39927</v>
      </c>
      <c r="I53" s="71"/>
      <c r="J53" s="71"/>
      <c r="K53" s="71"/>
      <c r="L53" s="76"/>
    </row>
    <row r="54" spans="1:12" ht="22.5">
      <c r="A54" s="85" t="s">
        <v>2800</v>
      </c>
      <c r="B54" s="71" t="s">
        <v>4062</v>
      </c>
      <c r="C54" s="71" t="s">
        <v>2798</v>
      </c>
      <c r="D54" s="71" t="s">
        <v>2801</v>
      </c>
      <c r="E54" s="72">
        <v>164600</v>
      </c>
      <c r="F54" s="73">
        <v>39875</v>
      </c>
      <c r="G54" s="74">
        <v>39926</v>
      </c>
      <c r="H54" s="75">
        <v>39927</v>
      </c>
      <c r="I54" s="71"/>
      <c r="J54" s="71"/>
      <c r="K54" s="71"/>
      <c r="L54" s="76"/>
    </row>
    <row r="55" spans="1:12" ht="22.5">
      <c r="A55" s="85" t="s">
        <v>2802</v>
      </c>
      <c r="B55" s="71" t="s">
        <v>4062</v>
      </c>
      <c r="C55" s="71" t="s">
        <v>2798</v>
      </c>
      <c r="D55" s="71" t="s">
        <v>2803</v>
      </c>
      <c r="E55" s="72">
        <v>162051</v>
      </c>
      <c r="F55" s="73">
        <v>39875</v>
      </c>
      <c r="G55" s="74">
        <v>39926</v>
      </c>
      <c r="H55" s="75">
        <v>39927</v>
      </c>
      <c r="I55" s="75">
        <v>39988</v>
      </c>
      <c r="J55" s="75">
        <v>40003</v>
      </c>
      <c r="K55" s="71" t="s">
        <v>4079</v>
      </c>
      <c r="L55" s="76"/>
    </row>
    <row r="56" spans="1:12" ht="22.5">
      <c r="A56" s="85" t="s">
        <v>2844</v>
      </c>
      <c r="B56" s="71" t="s">
        <v>4062</v>
      </c>
      <c r="C56" s="71" t="s">
        <v>4454</v>
      </c>
      <c r="D56" s="71" t="s">
        <v>2845</v>
      </c>
      <c r="E56" s="72">
        <v>182840</v>
      </c>
      <c r="F56" s="73">
        <v>39920</v>
      </c>
      <c r="G56" s="74">
        <v>39947</v>
      </c>
      <c r="H56" s="75">
        <v>39948</v>
      </c>
      <c r="I56" s="75">
        <v>39994</v>
      </c>
      <c r="J56" s="75">
        <v>40003</v>
      </c>
      <c r="K56" s="71" t="s">
        <v>2846</v>
      </c>
      <c r="L56" s="76"/>
    </row>
    <row r="57" spans="1:12" ht="22.5">
      <c r="A57" s="85" t="s">
        <v>2868</v>
      </c>
      <c r="B57" s="71" t="s">
        <v>4062</v>
      </c>
      <c r="C57" s="71" t="s">
        <v>2869</v>
      </c>
      <c r="D57" s="71" t="s">
        <v>2870</v>
      </c>
      <c r="E57" s="72">
        <v>113000</v>
      </c>
      <c r="F57" s="73">
        <v>39946</v>
      </c>
      <c r="G57" s="74">
        <v>39954</v>
      </c>
      <c r="H57" s="75">
        <v>39955</v>
      </c>
      <c r="I57" s="71"/>
      <c r="J57" s="71"/>
      <c r="K57" s="71"/>
      <c r="L57" s="76"/>
    </row>
    <row r="58" spans="1:12" ht="22.5">
      <c r="A58" s="85" t="s">
        <v>2913</v>
      </c>
      <c r="B58" s="71" t="s">
        <v>4137</v>
      </c>
      <c r="C58" s="71" t="s">
        <v>2914</v>
      </c>
      <c r="D58" s="71" t="s">
        <v>2915</v>
      </c>
      <c r="E58" s="72">
        <v>2064915.69</v>
      </c>
      <c r="F58" s="73">
        <v>39857</v>
      </c>
      <c r="G58" s="74">
        <v>39875</v>
      </c>
      <c r="H58" s="75">
        <v>39925</v>
      </c>
      <c r="I58" s="75">
        <v>40060</v>
      </c>
      <c r="J58" s="75">
        <v>40297</v>
      </c>
      <c r="K58" s="71" t="s">
        <v>4079</v>
      </c>
      <c r="L58" s="76"/>
    </row>
    <row r="59" spans="1:12" ht="22.5">
      <c r="A59" s="85" t="s">
        <v>2927</v>
      </c>
      <c r="B59" s="71" t="s">
        <v>4137</v>
      </c>
      <c r="C59" s="71" t="s">
        <v>2928</v>
      </c>
      <c r="D59" s="71" t="s">
        <v>2929</v>
      </c>
      <c r="E59" s="72">
        <v>1342273</v>
      </c>
      <c r="F59" s="73">
        <v>39899</v>
      </c>
      <c r="G59" s="74">
        <v>39934</v>
      </c>
      <c r="H59" s="75">
        <v>39937</v>
      </c>
      <c r="I59" s="71"/>
      <c r="J59" s="71"/>
      <c r="K59" s="71"/>
      <c r="L59" s="76"/>
    </row>
    <row r="60" spans="1:12" ht="22.5">
      <c r="A60" s="85" t="s">
        <v>2969</v>
      </c>
      <c r="B60" s="71" t="s">
        <v>4062</v>
      </c>
      <c r="C60" s="71" t="s">
        <v>4187</v>
      </c>
      <c r="D60" s="71" t="s">
        <v>2970</v>
      </c>
      <c r="E60" s="72">
        <v>908852</v>
      </c>
      <c r="F60" s="73">
        <v>39982</v>
      </c>
      <c r="G60" s="74">
        <v>39989</v>
      </c>
      <c r="H60" s="75">
        <v>39990</v>
      </c>
      <c r="I60" s="71"/>
      <c r="J60" s="71"/>
      <c r="K60" s="71"/>
      <c r="L60" s="76"/>
    </row>
    <row r="61" spans="1:12" ht="22.5">
      <c r="A61" s="85" t="s">
        <v>2984</v>
      </c>
      <c r="B61" s="71" t="s">
        <v>4062</v>
      </c>
      <c r="C61" s="71" t="s">
        <v>2587</v>
      </c>
      <c r="D61" s="71" t="s">
        <v>2985</v>
      </c>
      <c r="E61" s="72">
        <v>313200</v>
      </c>
      <c r="F61" s="73">
        <v>39969</v>
      </c>
      <c r="G61" s="74">
        <v>39989</v>
      </c>
      <c r="H61" s="75">
        <v>39990</v>
      </c>
      <c r="I61" s="71"/>
      <c r="J61" s="71"/>
      <c r="K61" s="71"/>
      <c r="L61" s="76"/>
    </row>
    <row r="62" spans="1:12" ht="22.5">
      <c r="A62" s="85" t="s">
        <v>2986</v>
      </c>
      <c r="B62" s="71" t="s">
        <v>4062</v>
      </c>
      <c r="C62" s="71" t="s">
        <v>4096</v>
      </c>
      <c r="D62" s="71" t="s">
        <v>2987</v>
      </c>
      <c r="E62" s="72">
        <v>560000</v>
      </c>
      <c r="F62" s="73">
        <v>39969</v>
      </c>
      <c r="G62" s="74">
        <v>39989</v>
      </c>
      <c r="H62" s="75">
        <v>39990</v>
      </c>
      <c r="I62" s="71"/>
      <c r="J62" s="71"/>
      <c r="K62" s="71"/>
      <c r="L62" s="76"/>
    </row>
    <row r="63" spans="1:12" ht="22.5">
      <c r="A63" s="85" t="s">
        <v>3015</v>
      </c>
      <c r="B63" s="71" t="s">
        <v>4062</v>
      </c>
      <c r="C63" s="71" t="s">
        <v>3016</v>
      </c>
      <c r="D63" s="71" t="s">
        <v>3017</v>
      </c>
      <c r="E63" s="72">
        <v>4983756</v>
      </c>
      <c r="F63" s="73">
        <v>39988</v>
      </c>
      <c r="G63" s="74">
        <v>40003</v>
      </c>
      <c r="H63" s="75">
        <v>40004</v>
      </c>
      <c r="I63" s="71"/>
      <c r="J63" s="71"/>
      <c r="K63" s="71"/>
      <c r="L63" s="76"/>
    </row>
    <row r="64" spans="1:12" ht="22.5">
      <c r="A64" s="85" t="s">
        <v>3026</v>
      </c>
      <c r="B64" s="71" t="s">
        <v>4062</v>
      </c>
      <c r="C64" s="71" t="s">
        <v>3027</v>
      </c>
      <c r="D64" s="71" t="s">
        <v>3028</v>
      </c>
      <c r="E64" s="72">
        <v>192500</v>
      </c>
      <c r="F64" s="73">
        <v>39982</v>
      </c>
      <c r="G64" s="74">
        <v>39989</v>
      </c>
      <c r="H64" s="75">
        <v>40073</v>
      </c>
      <c r="I64" s="75">
        <v>40060</v>
      </c>
      <c r="J64" s="75">
        <v>40126</v>
      </c>
      <c r="K64" s="71" t="s">
        <v>4079</v>
      </c>
      <c r="L64" s="76"/>
    </row>
    <row r="65" spans="1:12" ht="22.5">
      <c r="A65" s="85" t="s">
        <v>3085</v>
      </c>
      <c r="B65" s="71" t="s">
        <v>4062</v>
      </c>
      <c r="C65" s="71" t="s">
        <v>3086</v>
      </c>
      <c r="D65" s="71" t="s">
        <v>3087</v>
      </c>
      <c r="E65" s="72">
        <v>154400</v>
      </c>
      <c r="F65" s="73">
        <v>40009</v>
      </c>
      <c r="G65" s="74">
        <v>40017</v>
      </c>
      <c r="H65" s="75">
        <v>40023</v>
      </c>
      <c r="I65" s="71"/>
      <c r="J65" s="71"/>
      <c r="K65" s="71"/>
      <c r="L65" s="76"/>
    </row>
    <row r="66" spans="1:12" ht="22.5">
      <c r="A66" s="85" t="s">
        <v>3088</v>
      </c>
      <c r="B66" s="71" t="s">
        <v>4062</v>
      </c>
      <c r="C66" s="71" t="s">
        <v>3086</v>
      </c>
      <c r="D66" s="71" t="s">
        <v>3089</v>
      </c>
      <c r="E66" s="72">
        <v>122900</v>
      </c>
      <c r="F66" s="73">
        <v>40009</v>
      </c>
      <c r="G66" s="74">
        <v>40017</v>
      </c>
      <c r="H66" s="75">
        <v>40023</v>
      </c>
      <c r="I66" s="71"/>
      <c r="J66" s="71"/>
      <c r="K66" s="71"/>
      <c r="L66" s="76"/>
    </row>
    <row r="67" spans="1:12" ht="22.5">
      <c r="A67" s="85" t="s">
        <v>3113</v>
      </c>
      <c r="B67" s="71" t="s">
        <v>4231</v>
      </c>
      <c r="C67" s="71" t="s">
        <v>2603</v>
      </c>
      <c r="D67" s="71" t="s">
        <v>3114</v>
      </c>
      <c r="E67" s="72">
        <v>1000000</v>
      </c>
      <c r="F67" s="73">
        <v>40004</v>
      </c>
      <c r="G67" s="74">
        <v>39639</v>
      </c>
      <c r="H67" s="75">
        <v>40018</v>
      </c>
      <c r="I67" s="71"/>
      <c r="J67" s="71"/>
      <c r="K67" s="71" t="s">
        <v>4049</v>
      </c>
      <c r="L67" s="76"/>
    </row>
    <row r="68" spans="1:12" ht="22.5">
      <c r="A68" s="85" t="s">
        <v>3122</v>
      </c>
      <c r="B68" s="71" t="s">
        <v>4062</v>
      </c>
      <c r="C68" s="71"/>
      <c r="D68" s="71" t="s">
        <v>3123</v>
      </c>
      <c r="E68" s="72">
        <v>350000</v>
      </c>
      <c r="F68" s="73">
        <v>40031</v>
      </c>
      <c r="G68" s="74"/>
      <c r="H68" s="75"/>
      <c r="I68" s="71"/>
      <c r="J68" s="71"/>
      <c r="K68" s="71"/>
      <c r="L68" s="76"/>
    </row>
    <row r="69" spans="1:12" ht="22.5">
      <c r="A69" s="85" t="s">
        <v>3124</v>
      </c>
      <c r="B69" s="71" t="s">
        <v>4062</v>
      </c>
      <c r="C69" s="71"/>
      <c r="D69" s="71" t="s">
        <v>3125</v>
      </c>
      <c r="E69" s="72">
        <v>350000</v>
      </c>
      <c r="F69" s="73">
        <v>40045</v>
      </c>
      <c r="G69" s="74"/>
      <c r="H69" s="75"/>
      <c r="I69" s="71"/>
      <c r="J69" s="71"/>
      <c r="K69" s="71"/>
      <c r="L69" s="76"/>
    </row>
    <row r="70" spans="1:12" ht="22.5">
      <c r="A70" s="85" t="s">
        <v>3126</v>
      </c>
      <c r="B70" s="71" t="s">
        <v>4062</v>
      </c>
      <c r="C70" s="71"/>
      <c r="D70" s="71" t="s">
        <v>3127</v>
      </c>
      <c r="E70" s="72">
        <v>350000</v>
      </c>
      <c r="F70" s="73">
        <v>40031</v>
      </c>
      <c r="G70" s="74"/>
      <c r="H70" s="75"/>
      <c r="I70" s="71"/>
      <c r="J70" s="71"/>
      <c r="K70" s="71"/>
      <c r="L70" s="76"/>
    </row>
    <row r="71" spans="1:12" ht="22.5">
      <c r="A71" s="85" t="s">
        <v>3128</v>
      </c>
      <c r="B71" s="71" t="s">
        <v>4062</v>
      </c>
      <c r="C71" s="71"/>
      <c r="D71" s="71" t="s">
        <v>3129</v>
      </c>
      <c r="E71" s="72">
        <v>350000</v>
      </c>
      <c r="F71" s="73">
        <v>40031</v>
      </c>
      <c r="G71" s="74"/>
      <c r="H71" s="75"/>
      <c r="I71" s="71"/>
      <c r="J71" s="71"/>
      <c r="K71" s="71"/>
      <c r="L71" s="76"/>
    </row>
    <row r="72" spans="1:12" ht="22.5">
      <c r="A72" s="85" t="s">
        <v>3130</v>
      </c>
      <c r="B72" s="71" t="s">
        <v>4062</v>
      </c>
      <c r="C72" s="71" t="s">
        <v>3086</v>
      </c>
      <c r="D72" s="71" t="s">
        <v>3131</v>
      </c>
      <c r="E72" s="72">
        <v>136000</v>
      </c>
      <c r="F72" s="73">
        <v>40045</v>
      </c>
      <c r="G72" s="74">
        <v>40052</v>
      </c>
      <c r="H72" s="75">
        <v>40053</v>
      </c>
      <c r="I72" s="71"/>
      <c r="J72" s="71"/>
      <c r="K72" s="71"/>
      <c r="L72" s="76"/>
    </row>
    <row r="73" spans="1:12" ht="22.5">
      <c r="A73" s="85" t="s">
        <v>3132</v>
      </c>
      <c r="B73" s="71" t="s">
        <v>4062</v>
      </c>
      <c r="C73" s="71" t="s">
        <v>3086</v>
      </c>
      <c r="D73" s="71" t="s">
        <v>3133</v>
      </c>
      <c r="E73" s="72">
        <v>136000</v>
      </c>
      <c r="F73" s="73">
        <v>40045</v>
      </c>
      <c r="G73" s="74">
        <v>40052</v>
      </c>
      <c r="H73" s="75">
        <v>40053</v>
      </c>
      <c r="I73" s="71"/>
      <c r="J73" s="71"/>
      <c r="K73" s="71"/>
      <c r="L73" s="76"/>
    </row>
    <row r="74" spans="1:12" ht="22.5">
      <c r="A74" s="85" t="s">
        <v>3134</v>
      </c>
      <c r="B74" s="71" t="s">
        <v>4062</v>
      </c>
      <c r="C74" s="71" t="s">
        <v>3086</v>
      </c>
      <c r="D74" s="71" t="s">
        <v>3135</v>
      </c>
      <c r="E74" s="72">
        <v>136000</v>
      </c>
      <c r="F74" s="73">
        <v>40045</v>
      </c>
      <c r="G74" s="74">
        <v>40052</v>
      </c>
      <c r="H74" s="75">
        <v>40053</v>
      </c>
      <c r="I74" s="71"/>
      <c r="J74" s="71"/>
      <c r="K74" s="71"/>
      <c r="L74" s="76"/>
    </row>
    <row r="75" spans="1:12" ht="22.5">
      <c r="A75" s="85" t="s">
        <v>3197</v>
      </c>
      <c r="B75" s="71" t="s">
        <v>4062</v>
      </c>
      <c r="C75" s="71" t="s">
        <v>3198</v>
      </c>
      <c r="D75" s="71" t="s">
        <v>3199</v>
      </c>
      <c r="E75" s="72">
        <v>74000</v>
      </c>
      <c r="F75" s="73">
        <v>40021</v>
      </c>
      <c r="G75" s="74" t="s">
        <v>4119</v>
      </c>
      <c r="H75" s="75" t="s">
        <v>4119</v>
      </c>
      <c r="I75" s="71"/>
      <c r="J75" s="71"/>
      <c r="K75" s="71" t="s">
        <v>3200</v>
      </c>
      <c r="L75" s="76"/>
    </row>
    <row r="76" spans="1:12" ht="22.5">
      <c r="A76" s="78" t="s">
        <v>3262</v>
      </c>
      <c r="B76" s="71" t="s">
        <v>4062</v>
      </c>
      <c r="C76" s="71" t="s">
        <v>3263</v>
      </c>
      <c r="D76" s="71" t="s">
        <v>3264</v>
      </c>
      <c r="E76" s="72">
        <v>137000</v>
      </c>
      <c r="F76" s="73">
        <v>40078</v>
      </c>
      <c r="G76" s="74"/>
      <c r="H76" s="71"/>
      <c r="I76" s="71"/>
      <c r="J76" s="71"/>
      <c r="K76" s="71"/>
      <c r="L76" s="76"/>
    </row>
    <row r="77" spans="1:12" ht="22.5">
      <c r="A77" s="78" t="s">
        <v>3268</v>
      </c>
      <c r="B77" s="71" t="s">
        <v>4062</v>
      </c>
      <c r="C77" s="71" t="s">
        <v>2760</v>
      </c>
      <c r="D77" s="71" t="s">
        <v>3269</v>
      </c>
      <c r="E77" s="72">
        <v>263252</v>
      </c>
      <c r="F77" s="73">
        <v>40072</v>
      </c>
      <c r="G77" s="74">
        <v>40080</v>
      </c>
      <c r="H77" s="75">
        <v>40084</v>
      </c>
      <c r="I77" s="71"/>
      <c r="J77" s="71"/>
      <c r="K77" s="71"/>
      <c r="L77" s="76"/>
    </row>
    <row r="78" spans="1:12" ht="25.5">
      <c r="A78" s="18" t="s">
        <v>2494</v>
      </c>
      <c r="B78" s="98"/>
      <c r="C78" s="98"/>
      <c r="D78" s="98"/>
      <c r="E78" s="99">
        <f>SUM(E5:E77)</f>
        <v>157445462.69</v>
      </c>
      <c r="F78" s="75"/>
      <c r="G78" s="75"/>
      <c r="H78" s="75"/>
      <c r="I78" s="71"/>
      <c r="J78" s="71"/>
      <c r="K78" s="71"/>
      <c r="L78" s="76"/>
    </row>
    <row r="79" spans="1:12" ht="29.25" customHeight="1">
      <c r="A79" s="100"/>
      <c r="B79" s="101"/>
      <c r="C79" s="101"/>
      <c r="D79" s="101"/>
      <c r="E79" s="102"/>
      <c r="F79" s="75"/>
      <c r="G79" s="75"/>
      <c r="H79" s="75"/>
      <c r="I79" s="71"/>
      <c r="J79" s="71"/>
      <c r="K79" s="71"/>
      <c r="L79" s="76"/>
    </row>
    <row r="80" spans="1:12" ht="25.5">
      <c r="A80" s="17" t="s">
        <v>2495</v>
      </c>
      <c r="B80" s="71"/>
      <c r="C80" s="71"/>
      <c r="D80" s="71"/>
      <c r="E80" s="97"/>
      <c r="F80" s="75"/>
      <c r="G80" s="75"/>
      <c r="H80" s="75"/>
      <c r="I80" s="71"/>
      <c r="J80" s="71"/>
      <c r="K80" s="71"/>
      <c r="L80" s="76"/>
    </row>
    <row r="81" spans="1:12">
      <c r="A81" s="85" t="s">
        <v>3323</v>
      </c>
      <c r="B81" s="71" t="s">
        <v>4062</v>
      </c>
      <c r="C81" s="71" t="s">
        <v>3324</v>
      </c>
      <c r="D81" s="71" t="s">
        <v>3325</v>
      </c>
      <c r="E81" s="72">
        <v>2498620</v>
      </c>
      <c r="F81" s="73">
        <v>40184</v>
      </c>
      <c r="G81" s="74">
        <v>40290</v>
      </c>
      <c r="H81" s="75">
        <v>40291</v>
      </c>
      <c r="I81" s="71"/>
      <c r="J81" s="71"/>
      <c r="K81" s="71"/>
      <c r="L81" s="76"/>
    </row>
    <row r="82" spans="1:12" ht="22.5">
      <c r="A82" s="85" t="s">
        <v>3326</v>
      </c>
      <c r="B82" s="71" t="s">
        <v>4062</v>
      </c>
      <c r="C82" s="71" t="s">
        <v>3324</v>
      </c>
      <c r="D82" s="71" t="s">
        <v>3327</v>
      </c>
      <c r="E82" s="72">
        <v>2579710</v>
      </c>
      <c r="F82" s="73">
        <v>40184</v>
      </c>
      <c r="G82" s="74">
        <v>40290</v>
      </c>
      <c r="H82" s="75">
        <v>40291</v>
      </c>
      <c r="I82" s="71"/>
      <c r="J82" s="71"/>
      <c r="K82" s="71"/>
      <c r="L82" s="76"/>
    </row>
    <row r="83" spans="1:12">
      <c r="A83" s="85" t="s">
        <v>3328</v>
      </c>
      <c r="B83" s="71" t="s">
        <v>4062</v>
      </c>
      <c r="C83" s="71"/>
      <c r="D83" s="71" t="s">
        <v>3329</v>
      </c>
      <c r="E83" s="72">
        <v>4721000</v>
      </c>
      <c r="F83" s="73">
        <v>40198</v>
      </c>
      <c r="G83" s="74"/>
      <c r="H83" s="71"/>
      <c r="I83" s="71"/>
      <c r="J83" s="71"/>
      <c r="K83" s="71"/>
      <c r="L83" s="76"/>
    </row>
    <row r="84" spans="1:12" ht="22.5">
      <c r="A84" s="85" t="s">
        <v>3330</v>
      </c>
      <c r="B84" s="71" t="s">
        <v>4062</v>
      </c>
      <c r="C84" s="71" t="s">
        <v>3236</v>
      </c>
      <c r="D84" s="71" t="s">
        <v>3331</v>
      </c>
      <c r="E84" s="72">
        <v>2339900</v>
      </c>
      <c r="F84" s="73">
        <v>40198</v>
      </c>
      <c r="G84" s="74">
        <v>40311</v>
      </c>
      <c r="H84" s="75">
        <v>40312</v>
      </c>
      <c r="I84" s="71"/>
      <c r="J84" s="71"/>
      <c r="K84" s="71"/>
      <c r="L84" s="76"/>
    </row>
    <row r="85" spans="1:12" ht="22.5">
      <c r="A85" s="85" t="s">
        <v>3332</v>
      </c>
      <c r="B85" s="71" t="s">
        <v>4062</v>
      </c>
      <c r="C85" s="71" t="s">
        <v>3236</v>
      </c>
      <c r="D85" s="71" t="s">
        <v>3333</v>
      </c>
      <c r="E85" s="72">
        <v>4395000</v>
      </c>
      <c r="F85" s="73">
        <v>40198</v>
      </c>
      <c r="G85" s="74">
        <v>40311</v>
      </c>
      <c r="H85" s="75">
        <v>40312</v>
      </c>
      <c r="I85" s="71"/>
      <c r="J85" s="71"/>
      <c r="K85" s="71"/>
      <c r="L85" s="76"/>
    </row>
    <row r="86" spans="1:12">
      <c r="A86" s="85" t="s">
        <v>3342</v>
      </c>
      <c r="B86" s="71" t="s">
        <v>3343</v>
      </c>
      <c r="C86" s="71" t="s">
        <v>3344</v>
      </c>
      <c r="D86" s="71" t="s">
        <v>3345</v>
      </c>
      <c r="E86" s="72">
        <v>1094573</v>
      </c>
      <c r="F86" s="73">
        <v>40094</v>
      </c>
      <c r="G86" s="74">
        <v>40120</v>
      </c>
      <c r="H86" s="75">
        <v>40151</v>
      </c>
      <c r="I86" s="71"/>
      <c r="J86" s="71"/>
      <c r="K86" s="71"/>
      <c r="L86" s="76"/>
    </row>
    <row r="87" spans="1:12">
      <c r="A87" s="71" t="s">
        <v>3349</v>
      </c>
      <c r="B87" s="71" t="s">
        <v>4062</v>
      </c>
      <c r="C87" s="71" t="s">
        <v>3350</v>
      </c>
      <c r="D87" s="71" t="s">
        <v>3351</v>
      </c>
      <c r="E87" s="72">
        <v>600000</v>
      </c>
      <c r="F87" s="73">
        <v>40130</v>
      </c>
      <c r="G87" s="74"/>
      <c r="H87" s="71"/>
      <c r="I87" s="71"/>
      <c r="J87" s="71"/>
      <c r="K87" s="71"/>
      <c r="L87" s="76"/>
    </row>
    <row r="88" spans="1:12">
      <c r="A88" s="71" t="s">
        <v>3360</v>
      </c>
      <c r="B88" s="71" t="s">
        <v>4062</v>
      </c>
      <c r="C88" s="71" t="s">
        <v>3361</v>
      </c>
      <c r="D88" s="71" t="s">
        <v>3264</v>
      </c>
      <c r="E88" s="72">
        <v>137000</v>
      </c>
      <c r="F88" s="73">
        <v>40078</v>
      </c>
      <c r="G88" s="74"/>
      <c r="H88" s="71"/>
      <c r="I88" s="71"/>
      <c r="J88" s="71"/>
      <c r="K88" s="71"/>
      <c r="L88" s="76"/>
    </row>
    <row r="89" spans="1:12">
      <c r="A89" s="85" t="s">
        <v>3362</v>
      </c>
      <c r="B89" s="71" t="s">
        <v>3363</v>
      </c>
      <c r="C89" s="71" t="s">
        <v>3364</v>
      </c>
      <c r="D89" s="71" t="s">
        <v>3365</v>
      </c>
      <c r="E89" s="72">
        <v>19754695.870000001</v>
      </c>
      <c r="F89" s="73">
        <v>39959</v>
      </c>
      <c r="G89" s="74">
        <v>40380</v>
      </c>
      <c r="H89" s="75">
        <v>40387</v>
      </c>
      <c r="I89" s="71"/>
      <c r="J89" s="71"/>
      <c r="K89" s="71"/>
      <c r="L89" s="76"/>
    </row>
    <row r="90" spans="1:12">
      <c r="A90" s="85" t="s">
        <v>3383</v>
      </c>
      <c r="B90" s="71" t="s">
        <v>4062</v>
      </c>
      <c r="C90" s="71" t="s">
        <v>3384</v>
      </c>
      <c r="D90" s="71" t="s">
        <v>3385</v>
      </c>
      <c r="E90" s="72">
        <v>288989</v>
      </c>
      <c r="F90" s="73">
        <v>40093</v>
      </c>
      <c r="G90" s="74">
        <v>40220</v>
      </c>
      <c r="H90" s="75">
        <v>40221</v>
      </c>
      <c r="I90" s="71"/>
      <c r="J90" s="71"/>
      <c r="K90" s="71"/>
      <c r="L90" s="76"/>
    </row>
    <row r="91" spans="1:12" ht="22.5">
      <c r="A91" s="85" t="s">
        <v>3386</v>
      </c>
      <c r="B91" s="71" t="s">
        <v>4137</v>
      </c>
      <c r="C91" s="71" t="s">
        <v>3387</v>
      </c>
      <c r="D91" s="71" t="s">
        <v>3388</v>
      </c>
      <c r="E91" s="72">
        <v>372374</v>
      </c>
      <c r="F91" s="73">
        <v>40091</v>
      </c>
      <c r="G91" s="74">
        <v>40096</v>
      </c>
      <c r="H91" s="75">
        <v>40227</v>
      </c>
      <c r="I91" s="75">
        <v>40288</v>
      </c>
      <c r="J91" s="75">
        <v>40308</v>
      </c>
      <c r="K91" s="71" t="s">
        <v>4079</v>
      </c>
      <c r="L91" s="76"/>
    </row>
    <row r="92" spans="1:12">
      <c r="A92" s="85" t="s">
        <v>3391</v>
      </c>
      <c r="B92" s="71" t="s">
        <v>4062</v>
      </c>
      <c r="C92" s="71" t="s">
        <v>3392</v>
      </c>
      <c r="D92" s="71" t="s">
        <v>3393</v>
      </c>
      <c r="E92" s="72">
        <v>588000</v>
      </c>
      <c r="F92" s="73">
        <v>40093</v>
      </c>
      <c r="G92" s="74">
        <v>40135</v>
      </c>
      <c r="H92" s="75">
        <v>40135</v>
      </c>
      <c r="I92" s="71"/>
      <c r="J92" s="71"/>
      <c r="K92" s="71"/>
      <c r="L92" s="76"/>
    </row>
    <row r="93" spans="1:12">
      <c r="A93" s="85" t="s">
        <v>3399</v>
      </c>
      <c r="B93" s="71" t="s">
        <v>4062</v>
      </c>
      <c r="C93" s="71" t="s">
        <v>3324</v>
      </c>
      <c r="D93" s="71" t="s">
        <v>3400</v>
      </c>
      <c r="E93" s="72">
        <v>2957595</v>
      </c>
      <c r="F93" s="73"/>
      <c r="G93" s="74">
        <v>40290</v>
      </c>
      <c r="H93" s="75">
        <v>40291</v>
      </c>
      <c r="I93" s="71"/>
      <c r="J93" s="71"/>
      <c r="K93" s="71"/>
      <c r="L93" s="76"/>
    </row>
    <row r="94" spans="1:12">
      <c r="A94" s="71" t="s">
        <v>3454</v>
      </c>
      <c r="B94" s="71" t="s">
        <v>4062</v>
      </c>
      <c r="C94" s="71" t="s">
        <v>3364</v>
      </c>
      <c r="D94" s="71" t="s">
        <v>3455</v>
      </c>
      <c r="E94" s="72">
        <v>441854</v>
      </c>
      <c r="F94" s="75">
        <v>40133</v>
      </c>
      <c r="G94" s="74">
        <v>40157</v>
      </c>
      <c r="H94" s="75">
        <v>40158</v>
      </c>
      <c r="I94" s="71"/>
      <c r="J94" s="71"/>
      <c r="K94" s="71"/>
      <c r="L94" s="76"/>
    </row>
    <row r="95" spans="1:12" ht="22.5">
      <c r="A95" s="85" t="s">
        <v>1673</v>
      </c>
      <c r="B95" s="71" t="s">
        <v>4137</v>
      </c>
      <c r="C95" s="71" t="s">
        <v>1674</v>
      </c>
      <c r="D95" s="71" t="s">
        <v>1675</v>
      </c>
      <c r="E95" s="72">
        <v>218252</v>
      </c>
      <c r="F95" s="73">
        <v>40050</v>
      </c>
      <c r="G95" s="74">
        <v>40161</v>
      </c>
      <c r="H95" s="75">
        <v>40254</v>
      </c>
      <c r="I95" s="71"/>
      <c r="J95" s="71"/>
      <c r="K95" s="71"/>
      <c r="L95" s="76"/>
    </row>
    <row r="96" spans="1:12" ht="22.5">
      <c r="A96" s="85" t="s">
        <v>1676</v>
      </c>
      <c r="B96" s="71" t="s">
        <v>4137</v>
      </c>
      <c r="C96" s="71" t="s">
        <v>3155</v>
      </c>
      <c r="D96" s="71" t="s">
        <v>1677</v>
      </c>
      <c r="E96" s="72">
        <v>194445</v>
      </c>
      <c r="F96" s="73">
        <v>40050</v>
      </c>
      <c r="G96" s="74">
        <v>40163</v>
      </c>
      <c r="H96" s="75">
        <v>40168</v>
      </c>
      <c r="I96" s="71"/>
      <c r="J96" s="71"/>
      <c r="K96" s="71"/>
      <c r="L96" s="76"/>
    </row>
    <row r="97" spans="1:12" ht="22.5">
      <c r="A97" s="85" t="s">
        <v>1707</v>
      </c>
      <c r="B97" s="71" t="s">
        <v>4062</v>
      </c>
      <c r="C97" s="71" t="s">
        <v>1708</v>
      </c>
      <c r="D97" s="71" t="s">
        <v>1709</v>
      </c>
      <c r="E97" s="72">
        <v>587112</v>
      </c>
      <c r="F97" s="73">
        <v>40199</v>
      </c>
      <c r="G97" s="74">
        <v>40206</v>
      </c>
      <c r="H97" s="75">
        <v>40207</v>
      </c>
      <c r="I97" s="71"/>
      <c r="J97" s="71"/>
      <c r="K97" s="71"/>
      <c r="L97" s="76"/>
    </row>
    <row r="98" spans="1:12" ht="22.5">
      <c r="A98" s="71" t="s">
        <v>1729</v>
      </c>
      <c r="B98" s="71" t="s">
        <v>4231</v>
      </c>
      <c r="C98" s="71"/>
      <c r="D98" s="71" t="s">
        <v>1730</v>
      </c>
      <c r="E98" s="72">
        <v>159933.63</v>
      </c>
      <c r="F98" s="73" t="s">
        <v>1653</v>
      </c>
      <c r="G98" s="74"/>
      <c r="H98" s="71"/>
      <c r="I98" s="71"/>
      <c r="J98" s="71"/>
      <c r="K98" s="71"/>
      <c r="L98" s="76"/>
    </row>
    <row r="99" spans="1:12" ht="22.5">
      <c r="A99" s="71" t="s">
        <v>1753</v>
      </c>
      <c r="B99" s="71" t="s">
        <v>4062</v>
      </c>
      <c r="C99" s="71" t="s">
        <v>3353</v>
      </c>
      <c r="D99" s="71" t="s">
        <v>1754</v>
      </c>
      <c r="E99" s="72">
        <v>397500</v>
      </c>
      <c r="F99" s="73">
        <v>40213</v>
      </c>
      <c r="G99" s="74">
        <v>40220</v>
      </c>
      <c r="H99" s="75">
        <v>40221</v>
      </c>
      <c r="I99" s="71"/>
      <c r="J99" s="71"/>
      <c r="K99" s="71"/>
      <c r="L99" s="76"/>
    </row>
    <row r="100" spans="1:12" ht="22.5">
      <c r="A100" s="71" t="s">
        <v>1774</v>
      </c>
      <c r="B100" s="71" t="s">
        <v>4062</v>
      </c>
      <c r="C100" s="71" t="s">
        <v>4289</v>
      </c>
      <c r="D100" s="71" t="s">
        <v>1775</v>
      </c>
      <c r="E100" s="72">
        <v>3038268</v>
      </c>
      <c r="F100" s="73">
        <v>40226</v>
      </c>
      <c r="G100" s="74">
        <v>40248</v>
      </c>
      <c r="H100" s="75">
        <v>40249</v>
      </c>
      <c r="I100" s="71"/>
      <c r="J100" s="71"/>
      <c r="K100" s="71"/>
      <c r="L100" s="76"/>
    </row>
    <row r="101" spans="1:12" ht="22.5">
      <c r="A101" s="71" t="s">
        <v>1778</v>
      </c>
      <c r="B101" s="71" t="s">
        <v>4062</v>
      </c>
      <c r="C101" s="71" t="s">
        <v>1779</v>
      </c>
      <c r="D101" s="71" t="s">
        <v>1780</v>
      </c>
      <c r="E101" s="72">
        <v>3063827</v>
      </c>
      <c r="F101" s="73">
        <v>40241</v>
      </c>
      <c r="G101" s="74">
        <v>40262</v>
      </c>
      <c r="H101" s="75">
        <v>40263</v>
      </c>
      <c r="I101" s="71"/>
      <c r="J101" s="71"/>
      <c r="K101" s="71"/>
      <c r="L101" s="76"/>
    </row>
    <row r="102" spans="1:12" ht="22.5">
      <c r="A102" s="71" t="s">
        <v>1808</v>
      </c>
      <c r="B102" s="71" t="s">
        <v>4062</v>
      </c>
      <c r="C102" s="71" t="s">
        <v>1809</v>
      </c>
      <c r="D102" s="71" t="s">
        <v>1810</v>
      </c>
      <c r="E102" s="72">
        <v>5032000</v>
      </c>
      <c r="F102" s="73">
        <v>40247</v>
      </c>
      <c r="G102" s="74">
        <v>40262</v>
      </c>
      <c r="H102" s="75">
        <v>40263</v>
      </c>
      <c r="I102" s="71"/>
      <c r="J102" s="71"/>
      <c r="K102" s="71"/>
      <c r="L102" s="76"/>
    </row>
    <row r="103" spans="1:12" ht="22.5">
      <c r="A103" s="71" t="s">
        <v>1833</v>
      </c>
      <c r="B103" s="71" t="s">
        <v>4062</v>
      </c>
      <c r="C103" s="71" t="s">
        <v>1718</v>
      </c>
      <c r="D103" s="71" t="s">
        <v>1834</v>
      </c>
      <c r="E103" s="72">
        <v>444701</v>
      </c>
      <c r="F103" s="73">
        <v>40254</v>
      </c>
      <c r="G103" s="74">
        <v>40262</v>
      </c>
      <c r="H103" s="75">
        <v>40263</v>
      </c>
      <c r="I103" s="71"/>
      <c r="J103" s="71"/>
      <c r="K103" s="71"/>
      <c r="L103" s="76"/>
    </row>
    <row r="104" spans="1:12" ht="22.5">
      <c r="A104" s="71" t="s">
        <v>1846</v>
      </c>
      <c r="B104" s="71" t="s">
        <v>4137</v>
      </c>
      <c r="C104" s="71" t="s">
        <v>2980</v>
      </c>
      <c r="D104" s="71" t="s">
        <v>1847</v>
      </c>
      <c r="E104" s="72">
        <v>711672</v>
      </c>
      <c r="F104" s="73">
        <v>40267</v>
      </c>
      <c r="G104" s="74">
        <v>40291</v>
      </c>
      <c r="H104" s="75">
        <v>40294</v>
      </c>
      <c r="I104" s="75">
        <v>40336</v>
      </c>
      <c r="J104" s="75">
        <v>40336</v>
      </c>
      <c r="K104" s="71" t="s">
        <v>4079</v>
      </c>
      <c r="L104" s="76"/>
    </row>
    <row r="105" spans="1:12" ht="22.5">
      <c r="A105" s="71" t="s">
        <v>1878</v>
      </c>
      <c r="B105" s="71" t="s">
        <v>4062</v>
      </c>
      <c r="C105" s="71" t="s">
        <v>3353</v>
      </c>
      <c r="D105" s="71" t="s">
        <v>1879</v>
      </c>
      <c r="E105" s="72">
        <v>138000</v>
      </c>
      <c r="F105" s="73">
        <v>40254</v>
      </c>
      <c r="G105" s="74">
        <v>40262</v>
      </c>
      <c r="H105" s="75">
        <v>40263</v>
      </c>
      <c r="I105" s="71"/>
      <c r="J105" s="71"/>
      <c r="K105" s="71"/>
      <c r="L105" s="76"/>
    </row>
    <row r="106" spans="1:12" ht="22.5">
      <c r="A106" s="71" t="s">
        <v>1901</v>
      </c>
      <c r="B106" s="71" t="s">
        <v>4137</v>
      </c>
      <c r="C106" s="71" t="s">
        <v>1902</v>
      </c>
      <c r="D106" s="71" t="s">
        <v>1903</v>
      </c>
      <c r="E106" s="72">
        <v>325385</v>
      </c>
      <c r="F106" s="73">
        <v>40269</v>
      </c>
      <c r="G106" s="74">
        <v>40316</v>
      </c>
      <c r="H106" s="75">
        <v>40317</v>
      </c>
      <c r="I106" s="71"/>
      <c r="J106" s="71"/>
      <c r="K106" s="71"/>
      <c r="L106" s="76"/>
    </row>
    <row r="107" spans="1:12" ht="22.5">
      <c r="A107" s="71" t="s">
        <v>1906</v>
      </c>
      <c r="B107" s="71" t="s">
        <v>4062</v>
      </c>
      <c r="C107" s="71" t="s">
        <v>1809</v>
      </c>
      <c r="D107" s="71" t="s">
        <v>1907</v>
      </c>
      <c r="E107" s="72">
        <v>2200000</v>
      </c>
      <c r="F107" s="73">
        <v>40291</v>
      </c>
      <c r="G107" s="74">
        <v>40311</v>
      </c>
      <c r="H107" s="75">
        <v>40312</v>
      </c>
      <c r="I107" s="71"/>
      <c r="J107" s="71"/>
      <c r="K107" s="71"/>
      <c r="L107" s="76"/>
    </row>
    <row r="108" spans="1:12" ht="22.5">
      <c r="A108" s="71" t="s">
        <v>1908</v>
      </c>
      <c r="B108" s="71" t="s">
        <v>4062</v>
      </c>
      <c r="C108" s="71" t="s">
        <v>3324</v>
      </c>
      <c r="D108" s="71" t="s">
        <v>1909</v>
      </c>
      <c r="E108" s="72">
        <v>2178000</v>
      </c>
      <c r="F108" s="73">
        <v>40291</v>
      </c>
      <c r="G108" s="74">
        <v>40311</v>
      </c>
      <c r="H108" s="75">
        <v>40312</v>
      </c>
      <c r="I108" s="71"/>
      <c r="J108" s="71"/>
      <c r="K108" s="71"/>
      <c r="L108" s="76"/>
    </row>
    <row r="109" spans="1:12" ht="22.5">
      <c r="A109" s="71" t="s">
        <v>1910</v>
      </c>
      <c r="B109" s="71" t="s">
        <v>4062</v>
      </c>
      <c r="C109" s="71" t="s">
        <v>3324</v>
      </c>
      <c r="D109" s="71" t="s">
        <v>1911</v>
      </c>
      <c r="E109" s="72">
        <v>2270110</v>
      </c>
      <c r="F109" s="73">
        <v>40291</v>
      </c>
      <c r="G109" s="74">
        <v>40311</v>
      </c>
      <c r="H109" s="75">
        <v>40312</v>
      </c>
      <c r="I109" s="71"/>
      <c r="J109" s="71"/>
      <c r="K109" s="71"/>
      <c r="L109" s="76"/>
    </row>
    <row r="110" spans="1:12" ht="22.5">
      <c r="A110" s="71" t="s">
        <v>1920</v>
      </c>
      <c r="B110" s="71" t="s">
        <v>4137</v>
      </c>
      <c r="C110" s="71" t="s">
        <v>3236</v>
      </c>
      <c r="D110" s="71" t="s">
        <v>1921</v>
      </c>
      <c r="E110" s="72">
        <v>992718</v>
      </c>
      <c r="F110" s="73">
        <v>40269</v>
      </c>
      <c r="G110" s="74">
        <v>40325</v>
      </c>
      <c r="H110" s="75">
        <v>40331</v>
      </c>
      <c r="I110" s="71"/>
      <c r="J110" s="71"/>
      <c r="K110" s="71"/>
      <c r="L110" s="76"/>
    </row>
    <row r="111" spans="1:12" ht="22.5">
      <c r="A111" s="71" t="s">
        <v>1954</v>
      </c>
      <c r="B111" s="71" t="s">
        <v>4137</v>
      </c>
      <c r="C111" s="71" t="s">
        <v>1955</v>
      </c>
      <c r="D111" s="71" t="s">
        <v>1956</v>
      </c>
      <c r="E111" s="72">
        <v>230000</v>
      </c>
      <c r="F111" s="73">
        <v>40260</v>
      </c>
      <c r="G111" s="74">
        <v>40259</v>
      </c>
      <c r="H111" s="75">
        <v>40393</v>
      </c>
      <c r="I111" s="71"/>
      <c r="J111" s="71"/>
      <c r="K111" s="71"/>
      <c r="L111" s="76"/>
    </row>
    <row r="112" spans="1:12" ht="22.5">
      <c r="A112" s="71" t="s">
        <v>1960</v>
      </c>
      <c r="B112" s="71" t="s">
        <v>4137</v>
      </c>
      <c r="C112" s="71" t="s">
        <v>1961</v>
      </c>
      <c r="D112" s="71" t="s">
        <v>1962</v>
      </c>
      <c r="E112" s="72">
        <v>155000</v>
      </c>
      <c r="F112" s="73">
        <v>40273</v>
      </c>
      <c r="G112" s="74"/>
      <c r="H112" s="71"/>
      <c r="I112" s="71"/>
      <c r="J112" s="71"/>
      <c r="K112" s="71"/>
      <c r="L112" s="76"/>
    </row>
    <row r="113" spans="1:12" ht="22.5">
      <c r="A113" s="71" t="s">
        <v>1972</v>
      </c>
      <c r="B113" s="71" t="s">
        <v>4062</v>
      </c>
      <c r="C113" s="71" t="s">
        <v>3324</v>
      </c>
      <c r="D113" s="71" t="s">
        <v>1973</v>
      </c>
      <c r="E113" s="72">
        <v>2301986</v>
      </c>
      <c r="F113" s="73">
        <v>40303</v>
      </c>
      <c r="G113" s="74">
        <v>40311</v>
      </c>
      <c r="H113" s="75">
        <v>40312</v>
      </c>
      <c r="I113" s="71"/>
      <c r="J113" s="71"/>
      <c r="K113" s="71"/>
      <c r="L113" s="76"/>
    </row>
    <row r="114" spans="1:12" ht="22.5">
      <c r="A114" s="71" t="s">
        <v>1974</v>
      </c>
      <c r="B114" s="71" t="s">
        <v>4062</v>
      </c>
      <c r="C114" s="71" t="s">
        <v>1975</v>
      </c>
      <c r="D114" s="71" t="s">
        <v>1976</v>
      </c>
      <c r="E114" s="72">
        <v>2443730</v>
      </c>
      <c r="F114" s="73">
        <v>40302</v>
      </c>
      <c r="G114" s="74">
        <v>40311</v>
      </c>
      <c r="H114" s="75">
        <v>40312</v>
      </c>
      <c r="I114" s="71"/>
      <c r="J114" s="71"/>
      <c r="K114" s="71"/>
      <c r="L114" s="76"/>
    </row>
    <row r="115" spans="1:12" ht="22.5">
      <c r="A115" s="71" t="s">
        <v>1983</v>
      </c>
      <c r="B115" s="71" t="s">
        <v>4062</v>
      </c>
      <c r="C115" s="71" t="s">
        <v>3324</v>
      </c>
      <c r="D115" s="71" t="s">
        <v>1984</v>
      </c>
      <c r="E115" s="72">
        <v>244440</v>
      </c>
      <c r="F115" s="73">
        <v>40301</v>
      </c>
      <c r="G115" s="74">
        <v>40311</v>
      </c>
      <c r="H115" s="75">
        <v>40312</v>
      </c>
      <c r="I115" s="71"/>
      <c r="J115" s="71"/>
      <c r="K115" s="71"/>
      <c r="L115" s="76"/>
    </row>
    <row r="116" spans="1:12" ht="22.5">
      <c r="A116" s="71" t="s">
        <v>1990</v>
      </c>
      <c r="B116" s="71" t="s">
        <v>4062</v>
      </c>
      <c r="C116" s="71" t="s">
        <v>3353</v>
      </c>
      <c r="D116" s="71" t="s">
        <v>1991</v>
      </c>
      <c r="E116" s="72">
        <v>141800</v>
      </c>
      <c r="F116" s="73">
        <v>40294</v>
      </c>
      <c r="G116" s="74">
        <v>40311</v>
      </c>
      <c r="H116" s="75">
        <v>40312</v>
      </c>
      <c r="I116" s="71"/>
      <c r="J116" s="71"/>
      <c r="K116" s="71"/>
      <c r="L116" s="76"/>
    </row>
    <row r="117" spans="1:12" ht="22.5">
      <c r="A117" s="71" t="s">
        <v>2016</v>
      </c>
      <c r="B117" s="71" t="s">
        <v>4062</v>
      </c>
      <c r="C117" s="71" t="s">
        <v>1718</v>
      </c>
      <c r="D117" s="71" t="s">
        <v>2017</v>
      </c>
      <c r="E117" s="72">
        <v>280000</v>
      </c>
      <c r="F117" s="73">
        <v>40297</v>
      </c>
      <c r="G117" s="74">
        <v>40311</v>
      </c>
      <c r="H117" s="75">
        <v>40312</v>
      </c>
      <c r="I117" s="71"/>
      <c r="J117" s="71"/>
      <c r="K117" s="71"/>
      <c r="L117" s="76"/>
    </row>
    <row r="118" spans="1:12" ht="22.5">
      <c r="A118" s="71" t="s">
        <v>2021</v>
      </c>
      <c r="B118" s="71" t="s">
        <v>4231</v>
      </c>
      <c r="C118" s="71" t="s">
        <v>2022</v>
      </c>
      <c r="D118" s="71" t="s">
        <v>2023</v>
      </c>
      <c r="E118" s="72">
        <v>319412</v>
      </c>
      <c r="F118" s="73">
        <v>40304</v>
      </c>
      <c r="G118" s="74">
        <v>40324</v>
      </c>
      <c r="H118" s="75">
        <v>40325</v>
      </c>
      <c r="I118" s="71"/>
      <c r="J118" s="71"/>
      <c r="K118" s="71"/>
      <c r="L118" s="76"/>
    </row>
    <row r="119" spans="1:12" ht="22.5">
      <c r="A119" s="71" t="s">
        <v>2024</v>
      </c>
      <c r="B119" s="71" t="s">
        <v>4137</v>
      </c>
      <c r="C119" s="71"/>
      <c r="D119" s="71" t="s">
        <v>2025</v>
      </c>
      <c r="E119" s="72">
        <v>483853.24</v>
      </c>
      <c r="F119" s="73">
        <v>40299</v>
      </c>
      <c r="G119" s="74"/>
      <c r="H119" s="71"/>
      <c r="I119" s="71"/>
      <c r="J119" s="71"/>
      <c r="K119" s="71"/>
      <c r="L119" s="76"/>
    </row>
    <row r="120" spans="1:12" ht="22.5">
      <c r="A120" s="71" t="s">
        <v>2026</v>
      </c>
      <c r="B120" s="71" t="s">
        <v>4062</v>
      </c>
      <c r="C120" s="71" t="s">
        <v>2027</v>
      </c>
      <c r="D120" s="71" t="s">
        <v>2028</v>
      </c>
      <c r="E120" s="72">
        <v>256600</v>
      </c>
      <c r="F120" s="73">
        <v>40295</v>
      </c>
      <c r="G120" s="74">
        <v>40353</v>
      </c>
      <c r="H120" s="75">
        <v>40354</v>
      </c>
      <c r="I120" s="71"/>
      <c r="J120" s="71"/>
      <c r="K120" s="71"/>
      <c r="L120" s="76"/>
    </row>
    <row r="121" spans="1:12" ht="22.5">
      <c r="A121" s="71" t="s">
        <v>2029</v>
      </c>
      <c r="B121" s="71" t="s">
        <v>4062</v>
      </c>
      <c r="C121" s="71" t="s">
        <v>2027</v>
      </c>
      <c r="D121" s="71" t="s">
        <v>2030</v>
      </c>
      <c r="E121" s="72">
        <v>260750</v>
      </c>
      <c r="F121" s="73">
        <v>40295</v>
      </c>
      <c r="G121" s="74">
        <v>40353</v>
      </c>
      <c r="H121" s="75">
        <v>40354</v>
      </c>
      <c r="I121" s="71"/>
      <c r="J121" s="71"/>
      <c r="K121" s="71"/>
      <c r="L121" s="76"/>
    </row>
    <row r="122" spans="1:12" ht="22.5">
      <c r="A122" s="71" t="s">
        <v>2031</v>
      </c>
      <c r="B122" s="71" t="s">
        <v>4062</v>
      </c>
      <c r="C122" s="71" t="s">
        <v>2027</v>
      </c>
      <c r="D122" s="71" t="s">
        <v>2032</v>
      </c>
      <c r="E122" s="72">
        <v>258200</v>
      </c>
      <c r="F122" s="73">
        <v>40295</v>
      </c>
      <c r="G122" s="74">
        <v>40353</v>
      </c>
      <c r="H122" s="75">
        <v>40354</v>
      </c>
      <c r="I122" s="71"/>
      <c r="J122" s="71"/>
      <c r="K122" s="71"/>
      <c r="L122" s="76"/>
    </row>
    <row r="123" spans="1:12" ht="22.5">
      <c r="A123" s="71" t="s">
        <v>2033</v>
      </c>
      <c r="B123" s="71" t="s">
        <v>4062</v>
      </c>
      <c r="C123" s="71" t="s">
        <v>2027</v>
      </c>
      <c r="D123" s="71" t="s">
        <v>2034</v>
      </c>
      <c r="E123" s="72">
        <v>265850</v>
      </c>
      <c r="F123" s="73">
        <v>40295</v>
      </c>
      <c r="G123" s="74">
        <v>40353</v>
      </c>
      <c r="H123" s="75">
        <v>40354</v>
      </c>
      <c r="I123" s="71"/>
      <c r="J123" s="71"/>
      <c r="K123" s="71"/>
      <c r="L123" s="76"/>
    </row>
    <row r="124" spans="1:12" ht="22.5">
      <c r="A124" s="71" t="s">
        <v>2035</v>
      </c>
      <c r="B124" s="71" t="s">
        <v>4062</v>
      </c>
      <c r="C124" s="71"/>
      <c r="D124" s="71" t="s">
        <v>2036</v>
      </c>
      <c r="E124" s="72">
        <v>400000</v>
      </c>
      <c r="F124" s="73">
        <v>40295</v>
      </c>
      <c r="G124" s="74"/>
      <c r="H124" s="71"/>
      <c r="I124" s="71"/>
      <c r="J124" s="71"/>
      <c r="K124" s="71"/>
      <c r="L124" s="76"/>
    </row>
    <row r="125" spans="1:12" ht="22.5">
      <c r="A125" s="71" t="s">
        <v>2043</v>
      </c>
      <c r="B125" s="71" t="s">
        <v>4062</v>
      </c>
      <c r="C125" s="71" t="s">
        <v>3324</v>
      </c>
      <c r="D125" s="71" t="s">
        <v>2044</v>
      </c>
      <c r="E125" s="72">
        <v>2654804</v>
      </c>
      <c r="F125" s="73">
        <v>40338</v>
      </c>
      <c r="G125" s="74">
        <v>40353</v>
      </c>
      <c r="H125" s="75">
        <v>40354</v>
      </c>
      <c r="I125" s="71"/>
      <c r="J125" s="71"/>
      <c r="K125" s="71"/>
      <c r="L125" s="76"/>
    </row>
    <row r="126" spans="1:12" ht="22.5">
      <c r="A126" s="71" t="s">
        <v>2045</v>
      </c>
      <c r="B126" s="71" t="s">
        <v>4062</v>
      </c>
      <c r="C126" s="71" t="s">
        <v>3324</v>
      </c>
      <c r="D126" s="71" t="s">
        <v>2046</v>
      </c>
      <c r="E126" s="72">
        <v>3194700</v>
      </c>
      <c r="F126" s="73">
        <v>40337</v>
      </c>
      <c r="G126" s="74">
        <v>40353</v>
      </c>
      <c r="H126" s="75">
        <v>40354</v>
      </c>
      <c r="I126" s="71"/>
      <c r="J126" s="71"/>
      <c r="K126" s="71"/>
      <c r="L126" s="76"/>
    </row>
    <row r="127" spans="1:12" ht="22.5">
      <c r="A127" s="71" t="s">
        <v>2055</v>
      </c>
      <c r="B127" s="71" t="s">
        <v>4062</v>
      </c>
      <c r="C127" s="71" t="s">
        <v>2050</v>
      </c>
      <c r="D127" s="71" t="s">
        <v>2056</v>
      </c>
      <c r="E127" s="72">
        <v>939880</v>
      </c>
      <c r="F127" s="73">
        <v>40304</v>
      </c>
      <c r="G127" s="74">
        <v>40311</v>
      </c>
      <c r="H127" s="75">
        <v>40312</v>
      </c>
      <c r="I127" s="71"/>
      <c r="J127" s="71"/>
      <c r="K127" s="71"/>
      <c r="L127" s="76"/>
    </row>
    <row r="128" spans="1:12" ht="22.5">
      <c r="A128" s="71" t="s">
        <v>2060</v>
      </c>
      <c r="B128" s="71" t="s">
        <v>2061</v>
      </c>
      <c r="C128" s="71"/>
      <c r="D128" s="71" t="s">
        <v>2062</v>
      </c>
      <c r="E128" s="72">
        <v>441176</v>
      </c>
      <c r="F128" s="73">
        <v>40310</v>
      </c>
      <c r="G128" s="74"/>
      <c r="H128" s="71"/>
      <c r="I128" s="71"/>
      <c r="J128" s="71"/>
      <c r="K128" s="71"/>
      <c r="L128" s="76"/>
    </row>
    <row r="129" spans="1:12" ht="22.5">
      <c r="A129" s="71" t="s">
        <v>2070</v>
      </c>
      <c r="B129" s="71" t="s">
        <v>4062</v>
      </c>
      <c r="C129" s="71" t="s">
        <v>2071</v>
      </c>
      <c r="D129" s="71" t="s">
        <v>2072</v>
      </c>
      <c r="E129" s="72">
        <v>247551</v>
      </c>
      <c r="F129" s="73">
        <v>40345</v>
      </c>
      <c r="G129" s="74">
        <v>40353</v>
      </c>
      <c r="H129" s="75">
        <v>40354</v>
      </c>
      <c r="I129" s="71"/>
      <c r="J129" s="71"/>
      <c r="K129" s="71"/>
      <c r="L129" s="76"/>
    </row>
    <row r="130" spans="1:12" ht="22.5">
      <c r="A130" s="71" t="s">
        <v>2073</v>
      </c>
      <c r="B130" s="71" t="s">
        <v>4062</v>
      </c>
      <c r="C130" s="71" t="s">
        <v>2071</v>
      </c>
      <c r="D130" s="71" t="s">
        <v>2074</v>
      </c>
      <c r="E130" s="72">
        <v>247551</v>
      </c>
      <c r="F130" s="73">
        <v>40345</v>
      </c>
      <c r="G130" s="74">
        <v>40353</v>
      </c>
      <c r="H130" s="75">
        <v>40354</v>
      </c>
      <c r="I130" s="71"/>
      <c r="J130" s="71"/>
      <c r="K130" s="71"/>
      <c r="L130" s="76"/>
    </row>
    <row r="131" spans="1:12" ht="22.5">
      <c r="A131" s="71" t="s">
        <v>2075</v>
      </c>
      <c r="B131" s="71" t="s">
        <v>4062</v>
      </c>
      <c r="C131" s="71" t="s">
        <v>2071</v>
      </c>
      <c r="D131" s="71" t="s">
        <v>2076</v>
      </c>
      <c r="E131" s="72">
        <v>247551</v>
      </c>
      <c r="F131" s="73">
        <v>40345</v>
      </c>
      <c r="G131" s="74">
        <v>40353</v>
      </c>
      <c r="H131" s="75">
        <v>40354</v>
      </c>
      <c r="I131" s="71"/>
      <c r="J131" s="71"/>
      <c r="K131" s="71"/>
      <c r="L131" s="76"/>
    </row>
    <row r="132" spans="1:12" ht="22.5">
      <c r="A132" s="71" t="s">
        <v>2077</v>
      </c>
      <c r="B132" s="71" t="s">
        <v>4062</v>
      </c>
      <c r="C132" s="71" t="s">
        <v>2071</v>
      </c>
      <c r="D132" s="71" t="s">
        <v>2078</v>
      </c>
      <c r="E132" s="72">
        <v>247551</v>
      </c>
      <c r="F132" s="73">
        <v>40345</v>
      </c>
      <c r="G132" s="74">
        <v>40353</v>
      </c>
      <c r="H132" s="75">
        <v>40354</v>
      </c>
      <c r="I132" s="71"/>
      <c r="J132" s="71"/>
      <c r="K132" s="71"/>
      <c r="L132" s="76"/>
    </row>
    <row r="133" spans="1:12" ht="22.5">
      <c r="A133" s="71" t="s">
        <v>2079</v>
      </c>
      <c r="B133" s="71" t="s">
        <v>4062</v>
      </c>
      <c r="C133" s="71" t="s">
        <v>2071</v>
      </c>
      <c r="D133" s="71" t="s">
        <v>2080</v>
      </c>
      <c r="E133" s="72">
        <v>247551</v>
      </c>
      <c r="F133" s="73">
        <v>40345</v>
      </c>
      <c r="G133" s="74">
        <v>40353</v>
      </c>
      <c r="H133" s="75">
        <v>40354</v>
      </c>
      <c r="I133" s="71"/>
      <c r="J133" s="71"/>
      <c r="K133" s="71"/>
      <c r="L133" s="76"/>
    </row>
    <row r="134" spans="1:12" ht="22.5">
      <c r="A134" s="71" t="s">
        <v>2081</v>
      </c>
      <c r="B134" s="71" t="s">
        <v>4062</v>
      </c>
      <c r="C134" s="71" t="s">
        <v>2071</v>
      </c>
      <c r="D134" s="71" t="s">
        <v>2082</v>
      </c>
      <c r="E134" s="72">
        <v>247551</v>
      </c>
      <c r="F134" s="73">
        <v>40345</v>
      </c>
      <c r="G134" s="74">
        <v>40353</v>
      </c>
      <c r="H134" s="75">
        <v>40354</v>
      </c>
      <c r="I134" s="71"/>
      <c r="J134" s="71"/>
      <c r="K134" s="71"/>
      <c r="L134" s="76"/>
    </row>
    <row r="135" spans="1:12" ht="22.5">
      <c r="A135" s="71" t="s">
        <v>2083</v>
      </c>
      <c r="B135" s="71" t="s">
        <v>4062</v>
      </c>
      <c r="C135" s="71" t="s">
        <v>2071</v>
      </c>
      <c r="D135" s="71" t="s">
        <v>2084</v>
      </c>
      <c r="E135" s="72">
        <v>248943</v>
      </c>
      <c r="F135" s="73">
        <v>40345</v>
      </c>
      <c r="G135" s="74">
        <v>40367</v>
      </c>
      <c r="H135" s="75">
        <v>40368</v>
      </c>
      <c r="I135" s="71"/>
      <c r="J135" s="71"/>
      <c r="K135" s="71"/>
      <c r="L135" s="76"/>
    </row>
    <row r="136" spans="1:12" ht="22.5">
      <c r="A136" s="71" t="s">
        <v>2087</v>
      </c>
      <c r="B136" s="71" t="s">
        <v>4062</v>
      </c>
      <c r="C136" s="71" t="s">
        <v>3260</v>
      </c>
      <c r="D136" s="71" t="s">
        <v>2088</v>
      </c>
      <c r="E136" s="72">
        <v>2849000</v>
      </c>
      <c r="F136" s="73">
        <v>40330</v>
      </c>
      <c r="G136" s="74">
        <v>40353</v>
      </c>
      <c r="H136" s="75">
        <v>40354</v>
      </c>
      <c r="I136" s="71"/>
      <c r="J136" s="71"/>
      <c r="K136" s="71"/>
      <c r="L136" s="76"/>
    </row>
    <row r="137" spans="1:12" ht="22.5">
      <c r="A137" s="71" t="s">
        <v>2089</v>
      </c>
      <c r="B137" s="71" t="s">
        <v>4062</v>
      </c>
      <c r="C137" s="71" t="s">
        <v>3324</v>
      </c>
      <c r="D137" s="71" t="s">
        <v>2090</v>
      </c>
      <c r="E137" s="72">
        <v>2560000</v>
      </c>
      <c r="F137" s="73">
        <v>40330</v>
      </c>
      <c r="G137" s="74">
        <v>40311</v>
      </c>
      <c r="H137" s="75">
        <v>40354</v>
      </c>
      <c r="I137" s="71"/>
      <c r="J137" s="71"/>
      <c r="K137" s="71"/>
      <c r="L137" s="76"/>
    </row>
    <row r="138" spans="1:12" ht="22.5">
      <c r="A138" s="71" t="s">
        <v>2091</v>
      </c>
      <c r="B138" s="71" t="s">
        <v>4062</v>
      </c>
      <c r="C138" s="71" t="s">
        <v>3324</v>
      </c>
      <c r="D138" s="71" t="s">
        <v>2092</v>
      </c>
      <c r="E138" s="72">
        <v>2826300</v>
      </c>
      <c r="F138" s="73">
        <v>40330</v>
      </c>
      <c r="G138" s="74">
        <v>40311</v>
      </c>
      <c r="H138" s="75">
        <v>40354</v>
      </c>
      <c r="I138" s="71"/>
      <c r="J138" s="71"/>
      <c r="K138" s="71"/>
      <c r="L138" s="76"/>
    </row>
    <row r="139" spans="1:12" ht="22.5">
      <c r="A139" s="71" t="s">
        <v>2093</v>
      </c>
      <c r="B139" s="71" t="s">
        <v>4062</v>
      </c>
      <c r="C139" s="71"/>
      <c r="D139" s="71" t="s">
        <v>2094</v>
      </c>
      <c r="E139" s="72">
        <v>910000</v>
      </c>
      <c r="F139" s="73">
        <v>40339</v>
      </c>
      <c r="G139" s="74"/>
      <c r="H139" s="71"/>
      <c r="I139" s="71"/>
      <c r="J139" s="71"/>
      <c r="K139" s="71"/>
      <c r="L139" s="76"/>
    </row>
    <row r="140" spans="1:12" ht="22.5">
      <c r="A140" s="71" t="s">
        <v>2095</v>
      </c>
      <c r="B140" s="71" t="s">
        <v>4062</v>
      </c>
      <c r="C140" s="71" t="s">
        <v>2096</v>
      </c>
      <c r="D140" s="71" t="s">
        <v>2097</v>
      </c>
      <c r="E140" s="72">
        <v>419995</v>
      </c>
      <c r="F140" s="73">
        <v>40344</v>
      </c>
      <c r="G140" s="74">
        <v>40353</v>
      </c>
      <c r="H140" s="75">
        <v>40354</v>
      </c>
      <c r="I140" s="71"/>
      <c r="J140" s="71"/>
      <c r="K140" s="71"/>
      <c r="L140" s="76"/>
    </row>
    <row r="141" spans="1:12" ht="22.5">
      <c r="A141" s="71" t="s">
        <v>2098</v>
      </c>
      <c r="B141" s="71" t="s">
        <v>4062</v>
      </c>
      <c r="C141" s="71" t="s">
        <v>2099</v>
      </c>
      <c r="D141" s="71" t="s">
        <v>2100</v>
      </c>
      <c r="E141" s="72">
        <v>339468</v>
      </c>
      <c r="F141" s="73">
        <v>40343</v>
      </c>
      <c r="G141" s="74">
        <v>40353</v>
      </c>
      <c r="H141" s="75">
        <v>40354</v>
      </c>
      <c r="I141" s="71"/>
      <c r="J141" s="71"/>
      <c r="K141" s="71"/>
      <c r="L141" s="76"/>
    </row>
    <row r="142" spans="1:12" ht="22.5">
      <c r="A142" s="71" t="s">
        <v>2101</v>
      </c>
      <c r="B142" s="71" t="s">
        <v>4062</v>
      </c>
      <c r="C142" s="71" t="s">
        <v>2099</v>
      </c>
      <c r="D142" s="71" t="s">
        <v>2102</v>
      </c>
      <c r="E142" s="72">
        <v>962000</v>
      </c>
      <c r="F142" s="73">
        <v>40346</v>
      </c>
      <c r="G142" s="74">
        <v>40353</v>
      </c>
      <c r="H142" s="75">
        <v>40354</v>
      </c>
      <c r="I142" s="71"/>
      <c r="J142" s="71"/>
      <c r="K142" s="71"/>
      <c r="L142" s="76"/>
    </row>
    <row r="143" spans="1:12" ht="22.5">
      <c r="A143" s="71" t="s">
        <v>2103</v>
      </c>
      <c r="B143" s="71" t="s">
        <v>4062</v>
      </c>
      <c r="C143" s="71" t="s">
        <v>3387</v>
      </c>
      <c r="D143" s="71" t="s">
        <v>2104</v>
      </c>
      <c r="E143" s="72">
        <v>1095667</v>
      </c>
      <c r="F143" s="73">
        <v>40345</v>
      </c>
      <c r="G143" s="74">
        <v>40353</v>
      </c>
      <c r="H143" s="75">
        <v>40354</v>
      </c>
      <c r="I143" s="71"/>
      <c r="J143" s="71"/>
      <c r="K143" s="71"/>
      <c r="L143" s="76"/>
    </row>
    <row r="144" spans="1:12" ht="22.5">
      <c r="A144" s="71" t="s">
        <v>2113</v>
      </c>
      <c r="B144" s="71" t="s">
        <v>4062</v>
      </c>
      <c r="C144" s="71" t="s">
        <v>1809</v>
      </c>
      <c r="D144" s="71" t="s">
        <v>2114</v>
      </c>
      <c r="E144" s="72">
        <v>2350000</v>
      </c>
      <c r="F144" s="73">
        <v>40372</v>
      </c>
      <c r="G144" s="74">
        <v>40402</v>
      </c>
      <c r="H144" s="75">
        <v>40403</v>
      </c>
      <c r="I144" s="71"/>
      <c r="J144" s="71"/>
      <c r="K144" s="71"/>
      <c r="L144" s="76"/>
    </row>
    <row r="145" spans="1:12" ht="22.5">
      <c r="A145" s="71" t="s">
        <v>2115</v>
      </c>
      <c r="B145" s="71" t="s">
        <v>4062</v>
      </c>
      <c r="C145" s="71" t="s">
        <v>1809</v>
      </c>
      <c r="D145" s="71" t="s">
        <v>2116</v>
      </c>
      <c r="E145" s="72">
        <v>2189700</v>
      </c>
      <c r="F145" s="73">
        <v>40372</v>
      </c>
      <c r="G145" s="74">
        <v>40402</v>
      </c>
      <c r="H145" s="75">
        <v>40403</v>
      </c>
      <c r="I145" s="71"/>
      <c r="J145" s="71"/>
      <c r="K145" s="71"/>
      <c r="L145" s="76"/>
    </row>
    <row r="146" spans="1:12" ht="22.5">
      <c r="A146" s="71" t="s">
        <v>2117</v>
      </c>
      <c r="B146" s="71" t="s">
        <v>4062</v>
      </c>
      <c r="C146" s="71" t="s">
        <v>1809</v>
      </c>
      <c r="D146" s="71" t="s">
        <v>2118</v>
      </c>
      <c r="E146" s="72">
        <v>2327000</v>
      </c>
      <c r="F146" s="73">
        <v>40372</v>
      </c>
      <c r="G146" s="74">
        <v>40402</v>
      </c>
      <c r="H146" s="75">
        <v>40403</v>
      </c>
      <c r="I146" s="71"/>
      <c r="J146" s="71"/>
      <c r="K146" s="71"/>
      <c r="L146" s="76"/>
    </row>
    <row r="147" spans="1:12" ht="22.5">
      <c r="A147" s="71" t="s">
        <v>2123</v>
      </c>
      <c r="B147" s="71" t="s">
        <v>4062</v>
      </c>
      <c r="C147" s="71" t="s">
        <v>2071</v>
      </c>
      <c r="D147" s="71" t="s">
        <v>2124</v>
      </c>
      <c r="E147" s="72">
        <v>247551</v>
      </c>
      <c r="F147" s="73">
        <v>40360</v>
      </c>
      <c r="G147" s="74">
        <v>40353</v>
      </c>
      <c r="H147" s="75">
        <v>40354</v>
      </c>
      <c r="I147" s="71"/>
      <c r="J147" s="71"/>
      <c r="K147" s="71"/>
      <c r="L147" s="76"/>
    </row>
    <row r="148" spans="1:12" ht="22.5">
      <c r="A148" s="71" t="s">
        <v>2125</v>
      </c>
      <c r="B148" s="71" t="s">
        <v>4062</v>
      </c>
      <c r="C148" s="71"/>
      <c r="D148" s="71" t="s">
        <v>2126</v>
      </c>
      <c r="E148" s="72">
        <v>300000</v>
      </c>
      <c r="F148" s="73">
        <v>40360</v>
      </c>
      <c r="G148" s="74"/>
      <c r="H148" s="71"/>
      <c r="I148" s="71"/>
      <c r="J148" s="71"/>
      <c r="K148" s="71"/>
      <c r="L148" s="76"/>
    </row>
    <row r="149" spans="1:12" ht="22.5">
      <c r="A149" s="71" t="s">
        <v>2127</v>
      </c>
      <c r="B149" s="71" t="s">
        <v>4062</v>
      </c>
      <c r="C149" s="71"/>
      <c r="D149" s="71" t="s">
        <v>2128</v>
      </c>
      <c r="E149" s="72">
        <v>300000</v>
      </c>
      <c r="F149" s="73">
        <v>40360</v>
      </c>
      <c r="G149" s="74"/>
      <c r="H149" s="71"/>
      <c r="I149" s="71"/>
      <c r="J149" s="71"/>
      <c r="K149" s="71"/>
      <c r="L149" s="76"/>
    </row>
    <row r="150" spans="1:12" ht="22.5">
      <c r="A150" s="71" t="s">
        <v>2129</v>
      </c>
      <c r="B150" s="71" t="s">
        <v>4062</v>
      </c>
      <c r="C150" s="71"/>
      <c r="D150" s="71" t="s">
        <v>2130</v>
      </c>
      <c r="E150" s="72">
        <v>300000</v>
      </c>
      <c r="F150" s="73">
        <v>40360</v>
      </c>
      <c r="G150" s="74"/>
      <c r="H150" s="71"/>
      <c r="I150" s="71"/>
      <c r="J150" s="71"/>
      <c r="K150" s="71"/>
      <c r="L150" s="76"/>
    </row>
    <row r="151" spans="1:12" ht="22.5">
      <c r="A151" s="71" t="s">
        <v>2131</v>
      </c>
      <c r="B151" s="71" t="s">
        <v>4062</v>
      </c>
      <c r="C151" s="71" t="s">
        <v>2071</v>
      </c>
      <c r="D151" s="71" t="s">
        <v>2132</v>
      </c>
      <c r="E151" s="72">
        <v>247551</v>
      </c>
      <c r="F151" s="73">
        <v>40360</v>
      </c>
      <c r="G151" s="74">
        <v>40367</v>
      </c>
      <c r="H151" s="75">
        <v>40368</v>
      </c>
      <c r="I151" s="71"/>
      <c r="J151" s="71"/>
      <c r="K151" s="71"/>
      <c r="L151" s="76"/>
    </row>
    <row r="152" spans="1:12" ht="22.5">
      <c r="A152" s="71" t="s">
        <v>2133</v>
      </c>
      <c r="B152" s="71" t="s">
        <v>4062</v>
      </c>
      <c r="C152" s="71"/>
      <c r="D152" s="71" t="s">
        <v>2134</v>
      </c>
      <c r="E152" s="72">
        <v>300000</v>
      </c>
      <c r="F152" s="73">
        <v>40360</v>
      </c>
      <c r="G152" s="74"/>
      <c r="H152" s="71"/>
      <c r="I152" s="71"/>
      <c r="J152" s="71"/>
      <c r="K152" s="71"/>
      <c r="L152" s="76"/>
    </row>
    <row r="153" spans="1:12" ht="22.5">
      <c r="A153" s="71" t="s">
        <v>2135</v>
      </c>
      <c r="B153" s="71" t="s">
        <v>4062</v>
      </c>
      <c r="C153" s="71"/>
      <c r="D153" s="71" t="s">
        <v>2136</v>
      </c>
      <c r="E153" s="72">
        <v>300000</v>
      </c>
      <c r="F153" s="73">
        <v>40360</v>
      </c>
      <c r="G153" s="74"/>
      <c r="H153" s="71"/>
      <c r="I153" s="71"/>
      <c r="J153" s="71"/>
      <c r="K153" s="71"/>
      <c r="L153" s="76"/>
    </row>
    <row r="154" spans="1:12" ht="22.5">
      <c r="A154" s="71" t="s">
        <v>2157</v>
      </c>
      <c r="B154" s="71" t="s">
        <v>4062</v>
      </c>
      <c r="C154" s="71" t="s">
        <v>3324</v>
      </c>
      <c r="D154" s="71" t="s">
        <v>2158</v>
      </c>
      <c r="E154" s="72">
        <v>2637000</v>
      </c>
      <c r="F154" s="73">
        <v>40343</v>
      </c>
      <c r="G154" s="74">
        <v>40353</v>
      </c>
      <c r="H154" s="75">
        <v>40435</v>
      </c>
      <c r="I154" s="71"/>
      <c r="J154" s="71"/>
      <c r="K154" s="71"/>
      <c r="L154" s="76"/>
    </row>
    <row r="155" spans="1:12" ht="22.5">
      <c r="A155" s="71" t="s">
        <v>2159</v>
      </c>
      <c r="B155" s="71" t="s">
        <v>4062</v>
      </c>
      <c r="C155" s="71" t="s">
        <v>3260</v>
      </c>
      <c r="D155" s="71" t="s">
        <v>2160</v>
      </c>
      <c r="E155" s="72">
        <v>2649000</v>
      </c>
      <c r="F155" s="73">
        <v>40343</v>
      </c>
      <c r="G155" s="74">
        <v>40353</v>
      </c>
      <c r="H155" s="75">
        <v>40353</v>
      </c>
      <c r="I155" s="71"/>
      <c r="J155" s="71"/>
      <c r="K155" s="71"/>
      <c r="L155" s="76"/>
    </row>
    <row r="156" spans="1:12" ht="22.5">
      <c r="A156" s="71" t="s">
        <v>2161</v>
      </c>
      <c r="B156" s="71" t="s">
        <v>4062</v>
      </c>
      <c r="C156" s="71" t="s">
        <v>2162</v>
      </c>
      <c r="D156" s="71" t="s">
        <v>2163</v>
      </c>
      <c r="E156" s="72">
        <v>159829</v>
      </c>
      <c r="F156" s="73">
        <v>40346</v>
      </c>
      <c r="G156" s="74">
        <v>40353</v>
      </c>
      <c r="H156" s="75">
        <v>40354</v>
      </c>
      <c r="I156" s="71"/>
      <c r="J156" s="71"/>
      <c r="K156" s="71"/>
      <c r="L156" s="76"/>
    </row>
    <row r="157" spans="1:12" ht="22.5">
      <c r="A157" s="71" t="s">
        <v>2172</v>
      </c>
      <c r="B157" s="71" t="s">
        <v>4062</v>
      </c>
      <c r="C157" s="71" t="s">
        <v>2173</v>
      </c>
      <c r="D157" s="71" t="s">
        <v>2174</v>
      </c>
      <c r="E157" s="72">
        <v>216000</v>
      </c>
      <c r="F157" s="73">
        <v>40324</v>
      </c>
      <c r="G157" s="74">
        <v>40353</v>
      </c>
      <c r="H157" s="75">
        <v>40354</v>
      </c>
      <c r="I157" s="71"/>
      <c r="J157" s="71"/>
      <c r="K157" s="71"/>
      <c r="L157" s="76"/>
    </row>
    <row r="158" spans="1:12" ht="22.5">
      <c r="A158" s="71" t="s">
        <v>2175</v>
      </c>
      <c r="B158" s="71" t="s">
        <v>2176</v>
      </c>
      <c r="C158" s="71"/>
      <c r="D158" s="71" t="s">
        <v>1964</v>
      </c>
      <c r="E158" s="72">
        <v>1118000</v>
      </c>
      <c r="F158" s="73">
        <v>40345</v>
      </c>
      <c r="G158" s="74"/>
      <c r="H158" s="71"/>
      <c r="I158" s="71"/>
      <c r="J158" s="71"/>
      <c r="K158" s="71"/>
      <c r="L158" s="76"/>
    </row>
    <row r="159" spans="1:12" ht="22.5">
      <c r="A159" s="71" t="s">
        <v>2185</v>
      </c>
      <c r="B159" s="71" t="s">
        <v>4062</v>
      </c>
      <c r="C159" s="71" t="s">
        <v>2980</v>
      </c>
      <c r="D159" s="71" t="s">
        <v>2186</v>
      </c>
      <c r="E159" s="72">
        <v>108646</v>
      </c>
      <c r="F159" s="73">
        <v>40344</v>
      </c>
      <c r="G159" s="74">
        <v>40353</v>
      </c>
      <c r="H159" s="75">
        <v>40354</v>
      </c>
      <c r="I159" s="71"/>
      <c r="J159" s="71"/>
      <c r="K159" s="71"/>
      <c r="L159" s="76"/>
    </row>
    <row r="160" spans="1:12" ht="22.5">
      <c r="A160" s="71" t="s">
        <v>2187</v>
      </c>
      <c r="B160" s="71" t="s">
        <v>4062</v>
      </c>
      <c r="C160" s="71" t="s">
        <v>1708</v>
      </c>
      <c r="D160" s="71" t="s">
        <v>2188</v>
      </c>
      <c r="E160" s="72">
        <v>260570</v>
      </c>
      <c r="F160" s="73">
        <v>40344</v>
      </c>
      <c r="G160" s="74">
        <v>40353</v>
      </c>
      <c r="H160" s="75">
        <v>40354</v>
      </c>
      <c r="I160" s="71"/>
      <c r="J160" s="71"/>
      <c r="K160" s="71"/>
      <c r="L160" s="76"/>
    </row>
    <row r="161" spans="1:12" ht="22.5">
      <c r="A161" s="71" t="s">
        <v>2199</v>
      </c>
      <c r="B161" s="71" t="s">
        <v>4137</v>
      </c>
      <c r="C161" s="71"/>
      <c r="D161" s="71" t="s">
        <v>2200</v>
      </c>
      <c r="E161" s="72">
        <v>100000</v>
      </c>
      <c r="F161" s="73">
        <v>40302</v>
      </c>
      <c r="G161" s="74"/>
      <c r="H161" s="71"/>
      <c r="I161" s="71"/>
      <c r="J161" s="71"/>
      <c r="K161" s="71"/>
      <c r="L161" s="76"/>
    </row>
    <row r="162" spans="1:12" ht="22.5">
      <c r="A162" s="71" t="s">
        <v>2216</v>
      </c>
      <c r="B162" s="71" t="s">
        <v>4062</v>
      </c>
      <c r="C162" s="71" t="s">
        <v>2217</v>
      </c>
      <c r="D162" s="71" t="s">
        <v>2218</v>
      </c>
      <c r="E162" s="72">
        <v>663200</v>
      </c>
      <c r="F162" s="73">
        <v>40346</v>
      </c>
      <c r="G162" s="74">
        <v>40353</v>
      </c>
      <c r="H162" s="75">
        <v>40354</v>
      </c>
      <c r="I162" s="71"/>
      <c r="J162" s="71"/>
      <c r="K162" s="71"/>
      <c r="L162" s="76"/>
    </row>
    <row r="163" spans="1:12" ht="22.5">
      <c r="A163" s="71" t="s">
        <v>2257</v>
      </c>
      <c r="B163" s="71" t="s">
        <v>4062</v>
      </c>
      <c r="C163" s="71"/>
      <c r="D163" s="71" t="s">
        <v>2258</v>
      </c>
      <c r="E163" s="72">
        <v>420000</v>
      </c>
      <c r="F163" s="73">
        <v>40360</v>
      </c>
      <c r="G163" s="74"/>
      <c r="H163" s="71"/>
      <c r="I163" s="71"/>
      <c r="J163" s="71"/>
      <c r="K163" s="71"/>
      <c r="L163" s="76"/>
    </row>
    <row r="164" spans="1:12" ht="22.5">
      <c r="A164" s="71" t="s">
        <v>2264</v>
      </c>
      <c r="B164" s="71" t="s">
        <v>4186</v>
      </c>
      <c r="C164" s="71" t="s">
        <v>2265</v>
      </c>
      <c r="D164" s="71" t="s">
        <v>2266</v>
      </c>
      <c r="E164" s="72">
        <v>348406</v>
      </c>
      <c r="F164" s="75">
        <v>40339</v>
      </c>
      <c r="G164" s="74">
        <v>40386</v>
      </c>
      <c r="H164" s="75">
        <v>40388</v>
      </c>
      <c r="I164" s="71"/>
      <c r="J164" s="71"/>
      <c r="K164" s="71"/>
      <c r="L164" s="76"/>
    </row>
    <row r="165" spans="1:12" ht="22.5">
      <c r="A165" s="71" t="s">
        <v>2267</v>
      </c>
      <c r="B165" s="71" t="s">
        <v>4062</v>
      </c>
      <c r="C165" s="71"/>
      <c r="D165" s="71" t="s">
        <v>2268</v>
      </c>
      <c r="E165" s="72">
        <v>350000</v>
      </c>
      <c r="F165" s="73">
        <v>40374</v>
      </c>
      <c r="G165" s="74"/>
      <c r="H165" s="71"/>
      <c r="I165" s="71"/>
      <c r="J165" s="71"/>
      <c r="K165" s="71"/>
      <c r="L165" s="76"/>
    </row>
    <row r="166" spans="1:12" ht="22.5">
      <c r="A166" s="71" t="s">
        <v>2289</v>
      </c>
      <c r="B166" s="71" t="s">
        <v>4137</v>
      </c>
      <c r="C166" s="71"/>
      <c r="D166" s="71" t="s">
        <v>2290</v>
      </c>
      <c r="E166" s="72">
        <v>100000</v>
      </c>
      <c r="F166" s="73">
        <v>40375</v>
      </c>
      <c r="G166" s="74"/>
      <c r="H166" s="71"/>
      <c r="I166" s="71"/>
      <c r="J166" s="71"/>
      <c r="K166" s="71"/>
      <c r="L166" s="76"/>
    </row>
    <row r="167" spans="1:12" ht="22.5">
      <c r="A167" s="71" t="s">
        <v>2300</v>
      </c>
      <c r="B167" s="71" t="s">
        <v>2631</v>
      </c>
      <c r="C167" s="71" t="s">
        <v>2980</v>
      </c>
      <c r="D167" s="71" t="s">
        <v>2301</v>
      </c>
      <c r="E167" s="72">
        <v>429283</v>
      </c>
      <c r="F167" s="73">
        <v>40333</v>
      </c>
      <c r="G167" s="74">
        <v>40333</v>
      </c>
      <c r="H167" s="75">
        <v>40354</v>
      </c>
      <c r="I167" s="71"/>
      <c r="J167" s="71"/>
      <c r="K167" s="71"/>
      <c r="L167" s="76"/>
    </row>
    <row r="168" spans="1:12" ht="22.5">
      <c r="A168" s="71" t="s">
        <v>2302</v>
      </c>
      <c r="B168" s="71" t="s">
        <v>4062</v>
      </c>
      <c r="C168" s="71" t="s">
        <v>2303</v>
      </c>
      <c r="D168" s="71" t="s">
        <v>2304</v>
      </c>
      <c r="E168" s="72">
        <v>212764</v>
      </c>
      <c r="F168" s="73">
        <v>40409</v>
      </c>
      <c r="G168" s="74">
        <v>40416</v>
      </c>
      <c r="H168" s="75">
        <v>40417</v>
      </c>
      <c r="I168" s="71"/>
      <c r="J168" s="71"/>
      <c r="K168" s="71"/>
      <c r="L168" s="76"/>
    </row>
    <row r="169" spans="1:12" ht="22.5">
      <c r="A169" s="71" t="s">
        <v>2313</v>
      </c>
      <c r="B169" s="71" t="s">
        <v>4062</v>
      </c>
      <c r="C169" s="71"/>
      <c r="D169" s="71" t="s">
        <v>2314</v>
      </c>
      <c r="E169" s="72">
        <v>22000</v>
      </c>
      <c r="F169" s="73">
        <v>40360</v>
      </c>
      <c r="G169" s="74"/>
      <c r="H169" s="71"/>
      <c r="I169" s="71"/>
      <c r="J169" s="71"/>
      <c r="K169" s="71"/>
      <c r="L169" s="76"/>
    </row>
    <row r="170" spans="1:12" ht="22.5">
      <c r="A170" s="71" t="s">
        <v>2317</v>
      </c>
      <c r="B170" s="71" t="s">
        <v>4062</v>
      </c>
      <c r="C170" s="71" t="s">
        <v>2318</v>
      </c>
      <c r="D170" s="71" t="s">
        <v>2319</v>
      </c>
      <c r="E170" s="72">
        <v>155500</v>
      </c>
      <c r="F170" s="73"/>
      <c r="G170" s="74"/>
      <c r="H170" s="71"/>
      <c r="I170" s="71"/>
      <c r="J170" s="71"/>
      <c r="K170" s="71"/>
      <c r="L170" s="76"/>
    </row>
    <row r="171" spans="1:12" ht="22.5">
      <c r="A171" s="71" t="s">
        <v>2320</v>
      </c>
      <c r="B171" s="71" t="s">
        <v>4062</v>
      </c>
      <c r="C171" s="71" t="s">
        <v>2321</v>
      </c>
      <c r="D171" s="71" t="s">
        <v>2322</v>
      </c>
      <c r="E171" s="72">
        <v>170000</v>
      </c>
      <c r="F171" s="73"/>
      <c r="G171" s="74"/>
      <c r="H171" s="71"/>
      <c r="I171" s="71"/>
      <c r="J171" s="71"/>
      <c r="K171" s="71"/>
      <c r="L171" s="76"/>
    </row>
    <row r="172" spans="1:12" ht="22.5">
      <c r="A172" s="71" t="s">
        <v>2323</v>
      </c>
      <c r="B172" s="71" t="s">
        <v>4062</v>
      </c>
      <c r="C172" s="71" t="s">
        <v>2324</v>
      </c>
      <c r="D172" s="71" t="s">
        <v>2325</v>
      </c>
      <c r="E172" s="72">
        <v>219391</v>
      </c>
      <c r="F172" s="73"/>
      <c r="G172" s="74"/>
      <c r="H172" s="71"/>
      <c r="I172" s="71"/>
      <c r="J172" s="71"/>
      <c r="K172" s="71"/>
      <c r="L172" s="76"/>
    </row>
    <row r="173" spans="1:12" ht="22.5">
      <c r="A173" s="71" t="s">
        <v>2326</v>
      </c>
      <c r="B173" s="71" t="s">
        <v>4062</v>
      </c>
      <c r="C173" s="71" t="s">
        <v>2327</v>
      </c>
      <c r="D173" s="71" t="s">
        <v>2328</v>
      </c>
      <c r="E173" s="72">
        <v>260000</v>
      </c>
      <c r="F173" s="73"/>
      <c r="G173" s="74"/>
      <c r="H173" s="71"/>
      <c r="I173" s="71"/>
      <c r="J173" s="71"/>
      <c r="K173" s="71"/>
      <c r="L173" s="76"/>
    </row>
    <row r="174" spans="1:12" ht="22.5">
      <c r="A174" s="71" t="s">
        <v>2329</v>
      </c>
      <c r="B174" s="71" t="s">
        <v>4062</v>
      </c>
      <c r="C174" s="71" t="s">
        <v>3438</v>
      </c>
      <c r="D174" s="71" t="s">
        <v>2330</v>
      </c>
      <c r="E174" s="72">
        <v>755000</v>
      </c>
      <c r="F174" s="73">
        <v>40409</v>
      </c>
      <c r="G174" s="74">
        <v>40416</v>
      </c>
      <c r="H174" s="75">
        <v>40417</v>
      </c>
      <c r="I174" s="71"/>
      <c r="J174" s="71"/>
      <c r="K174" s="71"/>
      <c r="L174" s="76"/>
    </row>
    <row r="175" spans="1:12" ht="22.5">
      <c r="A175" s="71" t="s">
        <v>2331</v>
      </c>
      <c r="B175" s="71" t="s">
        <v>4062</v>
      </c>
      <c r="C175" s="71" t="s">
        <v>3438</v>
      </c>
      <c r="D175" s="71" t="s">
        <v>2332</v>
      </c>
      <c r="E175" s="72">
        <v>450000</v>
      </c>
      <c r="F175" s="73">
        <v>40409</v>
      </c>
      <c r="G175" s="74">
        <v>40416</v>
      </c>
      <c r="H175" s="75">
        <v>40417</v>
      </c>
      <c r="I175" s="71"/>
      <c r="J175" s="71"/>
      <c r="K175" s="71"/>
      <c r="L175" s="76"/>
    </row>
    <row r="176" spans="1:12" ht="22.5">
      <c r="A176" s="71" t="s">
        <v>2344</v>
      </c>
      <c r="B176" s="71" t="s">
        <v>4062</v>
      </c>
      <c r="C176" s="71"/>
      <c r="D176" s="71" t="s">
        <v>2345</v>
      </c>
      <c r="E176" s="72">
        <v>225000</v>
      </c>
      <c r="F176" s="73">
        <v>40409</v>
      </c>
      <c r="G176" s="74"/>
      <c r="H176" s="71"/>
      <c r="I176" s="71"/>
      <c r="J176" s="71"/>
      <c r="K176" s="71"/>
      <c r="L176" s="76"/>
    </row>
    <row r="177" spans="1:12" ht="22.5">
      <c r="A177" s="71" t="s">
        <v>2360</v>
      </c>
      <c r="B177" s="71" t="s">
        <v>2631</v>
      </c>
      <c r="C177" s="71"/>
      <c r="D177" s="71" t="s">
        <v>2361</v>
      </c>
      <c r="E177" s="72">
        <v>28000000</v>
      </c>
      <c r="F177" s="73">
        <v>40443</v>
      </c>
      <c r="G177" s="74"/>
      <c r="H177" s="71"/>
      <c r="I177" s="71"/>
      <c r="J177" s="71"/>
      <c r="K177" s="71"/>
      <c r="L177" s="76"/>
    </row>
    <row r="178" spans="1:12" ht="22.5">
      <c r="A178" s="71" t="s">
        <v>2362</v>
      </c>
      <c r="B178" s="71" t="s">
        <v>2631</v>
      </c>
      <c r="C178" s="71"/>
      <c r="D178" s="71" t="s">
        <v>2363</v>
      </c>
      <c r="E178" s="72">
        <v>11500000</v>
      </c>
      <c r="F178" s="73">
        <v>40371</v>
      </c>
      <c r="G178" s="74"/>
      <c r="H178" s="71"/>
      <c r="I178" s="71"/>
      <c r="J178" s="71"/>
      <c r="K178" s="71"/>
      <c r="L178" s="76"/>
    </row>
    <row r="179" spans="1:12">
      <c r="A179" s="94">
        <v>40422</v>
      </c>
      <c r="B179" s="71"/>
      <c r="C179" s="71"/>
      <c r="D179" s="71"/>
      <c r="E179" s="72"/>
      <c r="F179" s="73"/>
      <c r="G179" s="74"/>
      <c r="H179" s="71"/>
      <c r="I179" s="71"/>
      <c r="J179" s="71"/>
      <c r="K179" s="71"/>
      <c r="L179" s="76"/>
    </row>
    <row r="180" spans="1:12" ht="22.5">
      <c r="A180" s="71" t="s">
        <v>2412</v>
      </c>
      <c r="B180" s="71" t="s">
        <v>4137</v>
      </c>
      <c r="C180" s="71"/>
      <c r="D180" s="71" t="s">
        <v>2413</v>
      </c>
      <c r="E180" s="72">
        <v>1200000</v>
      </c>
      <c r="F180" s="73">
        <v>40429</v>
      </c>
      <c r="G180" s="74"/>
      <c r="H180" s="71"/>
      <c r="I180" s="71"/>
      <c r="J180" s="71"/>
      <c r="K180" s="71"/>
      <c r="L180" s="76"/>
    </row>
    <row r="181" spans="1:12" ht="22.5">
      <c r="A181" s="71" t="s">
        <v>2416</v>
      </c>
      <c r="B181" s="71" t="s">
        <v>4186</v>
      </c>
      <c r="C181" s="71"/>
      <c r="D181" s="71" t="s">
        <v>2417</v>
      </c>
      <c r="E181" s="72">
        <v>10900000</v>
      </c>
      <c r="F181" s="73">
        <v>40431</v>
      </c>
      <c r="G181" s="74"/>
      <c r="H181" s="71"/>
      <c r="I181" s="71"/>
      <c r="J181" s="71"/>
      <c r="K181" s="71"/>
      <c r="L181" s="76"/>
    </row>
    <row r="182" spans="1:12" ht="25.5">
      <c r="A182" s="17" t="s">
        <v>2496</v>
      </c>
      <c r="B182" s="71"/>
      <c r="C182" s="71"/>
      <c r="D182" s="71"/>
      <c r="E182" s="97">
        <f>SUM(E81:E181)</f>
        <v>166181485.74000001</v>
      </c>
      <c r="F182" s="73"/>
      <c r="G182" s="74"/>
      <c r="H182" s="71"/>
      <c r="I182" s="71"/>
      <c r="J182" s="71"/>
      <c r="K182" s="71"/>
      <c r="L182" s="76"/>
    </row>
    <row r="183" spans="1:12">
      <c r="A183" s="17"/>
      <c r="B183" s="71"/>
      <c r="C183" s="71"/>
      <c r="D183" s="71"/>
      <c r="E183" s="97"/>
      <c r="F183" s="73"/>
      <c r="G183" s="74"/>
      <c r="H183" s="71"/>
      <c r="I183" s="71"/>
      <c r="J183" s="71"/>
      <c r="K183" s="71"/>
      <c r="L183" s="76"/>
    </row>
    <row r="184" spans="1:12" ht="25.5">
      <c r="A184" s="17" t="s">
        <v>2497</v>
      </c>
      <c r="B184" s="71"/>
      <c r="C184" s="71"/>
      <c r="D184" s="71"/>
      <c r="E184" s="72"/>
      <c r="F184" s="73"/>
      <c r="G184" s="74"/>
      <c r="H184" s="71"/>
      <c r="I184" s="71"/>
      <c r="J184" s="71"/>
      <c r="K184" s="71"/>
      <c r="L184" s="76"/>
    </row>
    <row r="185" spans="1:12">
      <c r="A185" s="71" t="s">
        <v>2437</v>
      </c>
      <c r="B185" s="71" t="s">
        <v>4062</v>
      </c>
      <c r="C185" s="71"/>
      <c r="D185" s="71" t="s">
        <v>2438</v>
      </c>
      <c r="E185" s="72">
        <v>476420</v>
      </c>
      <c r="F185" s="73">
        <v>40456</v>
      </c>
      <c r="G185" s="74"/>
      <c r="H185" s="71"/>
      <c r="I185" s="71"/>
      <c r="J185" s="71"/>
      <c r="K185" s="71"/>
      <c r="L185" s="76"/>
    </row>
    <row r="186" spans="1:12">
      <c r="A186" s="71" t="s">
        <v>2441</v>
      </c>
      <c r="B186" s="71" t="s">
        <v>4062</v>
      </c>
      <c r="C186" s="71"/>
      <c r="D186" s="71" t="s">
        <v>2319</v>
      </c>
      <c r="E186" s="72">
        <v>1700000</v>
      </c>
      <c r="F186" s="73">
        <v>40470</v>
      </c>
      <c r="G186" s="74"/>
      <c r="H186" s="71"/>
      <c r="I186" s="71"/>
      <c r="J186" s="71"/>
      <c r="K186" s="71"/>
      <c r="L186" s="76"/>
    </row>
    <row r="187" spans="1:12">
      <c r="A187" s="71" t="s">
        <v>2442</v>
      </c>
      <c r="B187" s="71" t="s">
        <v>4062</v>
      </c>
      <c r="C187" s="71"/>
      <c r="D187" s="71" t="s">
        <v>2322</v>
      </c>
      <c r="E187" s="72">
        <v>155500</v>
      </c>
      <c r="F187" s="73">
        <v>40470</v>
      </c>
      <c r="G187" s="74"/>
      <c r="H187" s="71"/>
      <c r="I187" s="71"/>
      <c r="J187" s="71"/>
      <c r="K187" s="71"/>
      <c r="L187" s="76"/>
    </row>
    <row r="188" spans="1:12">
      <c r="A188" s="71" t="s">
        <v>2443</v>
      </c>
      <c r="B188" s="71" t="s">
        <v>4062</v>
      </c>
      <c r="C188" s="71"/>
      <c r="D188" s="71" t="s">
        <v>2325</v>
      </c>
      <c r="E188" s="72">
        <v>219391</v>
      </c>
      <c r="F188" s="73">
        <v>40470</v>
      </c>
      <c r="G188" s="74"/>
      <c r="H188" s="71"/>
      <c r="I188" s="71"/>
      <c r="J188" s="71"/>
      <c r="K188" s="71"/>
      <c r="L188" s="76"/>
    </row>
    <row r="189" spans="1:12">
      <c r="A189" s="71" t="s">
        <v>2444</v>
      </c>
      <c r="B189" s="71" t="s">
        <v>4062</v>
      </c>
      <c r="C189" s="71"/>
      <c r="D189" s="71" t="s">
        <v>2328</v>
      </c>
      <c r="E189" s="72">
        <v>260000</v>
      </c>
      <c r="F189" s="73">
        <v>40470</v>
      </c>
      <c r="G189" s="74"/>
      <c r="H189" s="71"/>
      <c r="I189" s="71"/>
      <c r="J189" s="71"/>
      <c r="K189" s="71"/>
      <c r="L189" s="76"/>
    </row>
    <row r="190" spans="1:12">
      <c r="A190" s="71" t="s">
        <v>2445</v>
      </c>
      <c r="B190" s="71" t="s">
        <v>4062</v>
      </c>
      <c r="C190" s="71"/>
      <c r="D190" s="71" t="s">
        <v>2446</v>
      </c>
      <c r="E190" s="72">
        <v>662560</v>
      </c>
      <c r="F190" s="73">
        <v>40472</v>
      </c>
      <c r="G190" s="74"/>
      <c r="H190" s="71"/>
      <c r="I190" s="71"/>
      <c r="J190" s="71"/>
      <c r="K190" s="71"/>
      <c r="L190" s="76"/>
    </row>
    <row r="191" spans="1:12">
      <c r="A191" s="71" t="s">
        <v>2447</v>
      </c>
      <c r="B191" s="71" t="s">
        <v>4062</v>
      </c>
      <c r="C191" s="71"/>
      <c r="D191" s="71" t="s">
        <v>2448</v>
      </c>
      <c r="E191" s="72">
        <v>806000</v>
      </c>
      <c r="F191" s="73">
        <v>40472</v>
      </c>
      <c r="G191" s="74"/>
      <c r="H191" s="71"/>
      <c r="I191" s="71"/>
      <c r="J191" s="71"/>
      <c r="K191" s="71"/>
      <c r="L191" s="76"/>
    </row>
    <row r="192" spans="1:12">
      <c r="A192" s="71" t="s">
        <v>2449</v>
      </c>
      <c r="B192" s="71" t="s">
        <v>4062</v>
      </c>
      <c r="C192" s="71"/>
      <c r="D192" s="71" t="s">
        <v>2450</v>
      </c>
      <c r="E192" s="72">
        <v>709760</v>
      </c>
      <c r="F192" s="73">
        <v>40472</v>
      </c>
      <c r="G192" s="74"/>
      <c r="H192" s="71"/>
      <c r="I192" s="71"/>
      <c r="J192" s="71"/>
      <c r="K192" s="71"/>
      <c r="L192" s="76"/>
    </row>
    <row r="193" spans="1:12">
      <c r="A193" s="71" t="s">
        <v>2451</v>
      </c>
      <c r="B193" s="71" t="s">
        <v>4062</v>
      </c>
      <c r="C193" s="71"/>
      <c r="D193" s="71" t="s">
        <v>2452</v>
      </c>
      <c r="E193" s="72">
        <v>750368</v>
      </c>
      <c r="F193" s="73">
        <v>40472</v>
      </c>
      <c r="G193" s="74"/>
      <c r="H193" s="71"/>
      <c r="I193" s="71"/>
      <c r="J193" s="71"/>
      <c r="K193" s="71"/>
      <c r="L193" s="76"/>
    </row>
    <row r="194" spans="1:12">
      <c r="A194" s="71" t="s">
        <v>2453</v>
      </c>
      <c r="B194" s="71" t="s">
        <v>4062</v>
      </c>
      <c r="C194" s="71"/>
      <c r="D194" s="71" t="s">
        <v>2454</v>
      </c>
      <c r="E194" s="72">
        <v>70000</v>
      </c>
      <c r="F194" s="73">
        <v>40457</v>
      </c>
      <c r="G194" s="74"/>
      <c r="H194" s="71"/>
      <c r="I194" s="71"/>
      <c r="J194" s="71"/>
      <c r="K194" s="71"/>
      <c r="L194" s="76"/>
    </row>
    <row r="195" spans="1:12">
      <c r="A195" s="71" t="s">
        <v>2455</v>
      </c>
      <c r="B195" s="71" t="s">
        <v>4062</v>
      </c>
      <c r="C195" s="71"/>
      <c r="D195" s="71" t="s">
        <v>2456</v>
      </c>
      <c r="E195" s="72">
        <v>83572</v>
      </c>
      <c r="F195" s="73">
        <v>40457</v>
      </c>
      <c r="G195" s="74"/>
      <c r="H195" s="71"/>
      <c r="I195" s="71"/>
      <c r="J195" s="71"/>
      <c r="K195" s="71"/>
      <c r="L195" s="76"/>
    </row>
    <row r="196" spans="1:12">
      <c r="A196" s="71" t="s">
        <v>2457</v>
      </c>
      <c r="B196" s="71" t="s">
        <v>4062</v>
      </c>
      <c r="C196" s="71"/>
      <c r="D196" s="71" t="s">
        <v>2458</v>
      </c>
      <c r="E196" s="72">
        <v>103000</v>
      </c>
      <c r="F196" s="73">
        <v>40458</v>
      </c>
      <c r="G196" s="74"/>
      <c r="H196" s="71"/>
      <c r="I196" s="71"/>
      <c r="J196" s="71"/>
      <c r="K196" s="71"/>
      <c r="L196" s="76"/>
    </row>
    <row r="197" spans="1:12">
      <c r="A197" s="71" t="s">
        <v>2459</v>
      </c>
      <c r="B197" s="71" t="s">
        <v>4062</v>
      </c>
      <c r="C197" s="71"/>
      <c r="D197" s="71" t="s">
        <v>2460</v>
      </c>
      <c r="E197" s="72">
        <v>100000</v>
      </c>
      <c r="F197" s="73">
        <v>40468</v>
      </c>
      <c r="G197" s="74"/>
      <c r="H197" s="71"/>
      <c r="I197" s="71"/>
      <c r="J197" s="71"/>
      <c r="K197" s="71"/>
      <c r="L197" s="76"/>
    </row>
    <row r="198" spans="1:12">
      <c r="A198" s="71" t="s">
        <v>2465</v>
      </c>
      <c r="B198" s="71" t="s">
        <v>4062</v>
      </c>
      <c r="C198" s="71"/>
      <c r="D198" s="71" t="s">
        <v>2466</v>
      </c>
      <c r="E198" s="72">
        <v>175000</v>
      </c>
      <c r="F198" s="73">
        <v>40472</v>
      </c>
      <c r="G198" s="74"/>
      <c r="H198" s="71"/>
      <c r="I198" s="71"/>
      <c r="J198" s="71"/>
      <c r="K198" s="71"/>
      <c r="L198" s="76"/>
    </row>
    <row r="199" spans="1:12">
      <c r="A199" s="71" t="s">
        <v>2467</v>
      </c>
      <c r="B199" s="71" t="s">
        <v>4062</v>
      </c>
      <c r="C199" s="71"/>
      <c r="D199" s="71" t="s">
        <v>2468</v>
      </c>
      <c r="E199" s="72">
        <v>185000</v>
      </c>
      <c r="F199" s="73">
        <v>40472</v>
      </c>
      <c r="G199" s="74"/>
      <c r="H199" s="71"/>
      <c r="I199" s="71"/>
      <c r="J199" s="71"/>
      <c r="K199" s="71"/>
      <c r="L199" s="76"/>
    </row>
    <row r="200" spans="1:12">
      <c r="A200" s="71" t="s">
        <v>2473</v>
      </c>
      <c r="B200" s="71" t="s">
        <v>4062</v>
      </c>
      <c r="C200" s="71"/>
      <c r="D200" s="71" t="s">
        <v>2474</v>
      </c>
      <c r="E200" s="72">
        <v>128615</v>
      </c>
      <c r="F200" s="73">
        <v>40456</v>
      </c>
      <c r="G200" s="74"/>
      <c r="H200" s="71"/>
      <c r="I200" s="71"/>
      <c r="J200" s="71"/>
      <c r="K200" s="71"/>
      <c r="L200" s="76"/>
    </row>
    <row r="201" spans="1:12">
      <c r="A201" s="71" t="s">
        <v>2475</v>
      </c>
      <c r="B201" s="71" t="s">
        <v>4062</v>
      </c>
      <c r="C201" s="71"/>
      <c r="D201" s="71" t="s">
        <v>2476</v>
      </c>
      <c r="E201" s="72">
        <v>5036000</v>
      </c>
      <c r="F201" s="73">
        <v>40456</v>
      </c>
      <c r="G201" s="74"/>
      <c r="H201" s="71"/>
      <c r="I201" s="71"/>
      <c r="J201" s="71"/>
      <c r="K201" s="71"/>
      <c r="L201" s="76"/>
    </row>
    <row r="202" spans="1:12">
      <c r="A202" s="71" t="s">
        <v>2477</v>
      </c>
      <c r="B202" s="71" t="s">
        <v>4062</v>
      </c>
      <c r="C202" s="71"/>
      <c r="D202" s="71" t="s">
        <v>2478</v>
      </c>
      <c r="E202" s="72">
        <v>100000</v>
      </c>
      <c r="F202" s="73">
        <v>40471</v>
      </c>
      <c r="G202" s="74"/>
      <c r="H202" s="71"/>
      <c r="I202" s="71"/>
      <c r="J202" s="71"/>
      <c r="K202" s="71"/>
      <c r="L202" s="76"/>
    </row>
    <row r="203" spans="1:12">
      <c r="A203" s="71" t="s">
        <v>2479</v>
      </c>
      <c r="B203" s="71" t="s">
        <v>4062</v>
      </c>
      <c r="C203" s="71"/>
      <c r="D203" s="71" t="s">
        <v>2480</v>
      </c>
      <c r="E203" s="72">
        <v>100000</v>
      </c>
      <c r="F203" s="73">
        <v>40471</v>
      </c>
      <c r="G203" s="74"/>
      <c r="H203" s="71"/>
      <c r="I203" s="71"/>
      <c r="J203" s="71"/>
      <c r="K203" s="71"/>
      <c r="L203" s="76"/>
    </row>
    <row r="204" spans="1:12">
      <c r="A204" s="71" t="s">
        <v>2492</v>
      </c>
      <c r="B204" s="71" t="s">
        <v>4137</v>
      </c>
      <c r="C204" s="71"/>
      <c r="D204" s="71" t="s">
        <v>2493</v>
      </c>
      <c r="E204" s="72">
        <v>100000</v>
      </c>
      <c r="F204" s="73">
        <v>40452</v>
      </c>
      <c r="G204" s="74"/>
      <c r="H204" s="71"/>
      <c r="I204" s="71"/>
      <c r="J204" s="71"/>
      <c r="K204" s="71"/>
      <c r="L204" s="76"/>
    </row>
    <row r="205" spans="1:12" ht="25.5">
      <c r="A205" s="17" t="s">
        <v>2498</v>
      </c>
      <c r="E205" s="104">
        <f>SUM(E185:E204)</f>
        <v>11921186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88"/>
  <sheetViews>
    <sheetView workbookViewId="0"/>
  </sheetViews>
  <sheetFormatPr defaultRowHeight="12.75"/>
  <cols>
    <col min="1" max="1" width="13.140625" customWidth="1"/>
    <col min="2" max="2" width="28.28515625" customWidth="1"/>
    <col min="3" max="3" width="27" customWidth="1"/>
    <col min="4" max="4" width="52.42578125" customWidth="1"/>
    <col min="5" max="5" width="14.85546875" bestFit="1" customWidth="1"/>
  </cols>
  <sheetData>
    <row r="1" spans="1:11">
      <c r="A1" s="8" t="s">
        <v>1039</v>
      </c>
      <c r="B1" s="8"/>
      <c r="C1" s="106">
        <f>E444</f>
        <v>427373376.99199998</v>
      </c>
    </row>
    <row r="2" spans="1:11">
      <c r="A2" s="8" t="s">
        <v>1040</v>
      </c>
      <c r="B2" s="8"/>
      <c r="C2" s="106">
        <f>E962</f>
        <v>560677441.88000011</v>
      </c>
    </row>
    <row r="3" spans="1:11">
      <c r="A3" s="8" t="s">
        <v>1041</v>
      </c>
      <c r="B3" s="8"/>
      <c r="C3" s="106">
        <f>E988</f>
        <v>30880506</v>
      </c>
      <c r="D3" s="105" t="s">
        <v>1042</v>
      </c>
    </row>
    <row r="4" spans="1:11" ht="29.25" customHeight="1">
      <c r="A4" s="8"/>
      <c r="B4" s="8"/>
      <c r="C4" s="8"/>
      <c r="D4" s="8"/>
    </row>
    <row r="5" spans="1:11" ht="29.25" customHeight="1">
      <c r="A5" s="8" t="s">
        <v>1038</v>
      </c>
      <c r="B5" s="8"/>
      <c r="C5" s="8"/>
      <c r="D5" s="8"/>
    </row>
    <row r="6" spans="1:11">
      <c r="A6" s="71" t="s">
        <v>4516</v>
      </c>
      <c r="B6" s="107" t="s">
        <v>2503</v>
      </c>
      <c r="C6" s="71" t="s">
        <v>4517</v>
      </c>
      <c r="D6" s="71" t="s">
        <v>4518</v>
      </c>
      <c r="E6" s="108"/>
      <c r="F6" s="109" t="s">
        <v>4519</v>
      </c>
      <c r="G6" s="109"/>
      <c r="H6" s="109" t="s">
        <v>4519</v>
      </c>
      <c r="I6" s="109"/>
      <c r="J6" s="71"/>
      <c r="K6" s="110"/>
    </row>
    <row r="7" spans="1:11">
      <c r="A7" s="71" t="s">
        <v>4520</v>
      </c>
      <c r="B7" s="107" t="s">
        <v>2504</v>
      </c>
      <c r="C7" s="71" t="s">
        <v>2505</v>
      </c>
      <c r="D7" s="71" t="s">
        <v>4521</v>
      </c>
      <c r="E7" s="108">
        <v>920398</v>
      </c>
      <c r="F7" s="109">
        <v>39769</v>
      </c>
      <c r="G7" s="109">
        <v>40017</v>
      </c>
      <c r="H7" s="109">
        <v>39785</v>
      </c>
      <c r="I7" s="109">
        <v>39787</v>
      </c>
      <c r="J7" s="71"/>
      <c r="K7" s="110"/>
    </row>
    <row r="8" spans="1:11">
      <c r="A8" s="71" t="s">
        <v>4522</v>
      </c>
      <c r="B8" s="107" t="s">
        <v>2506</v>
      </c>
      <c r="C8" s="71" t="s">
        <v>4523</v>
      </c>
      <c r="D8" s="71" t="s">
        <v>4524</v>
      </c>
      <c r="E8" s="108">
        <v>2715101.8</v>
      </c>
      <c r="F8" s="109">
        <v>39772</v>
      </c>
      <c r="G8" s="109"/>
      <c r="H8" s="109">
        <v>39798</v>
      </c>
      <c r="I8" s="109">
        <v>39839</v>
      </c>
      <c r="J8" s="71"/>
      <c r="K8" s="110"/>
    </row>
    <row r="9" spans="1:11">
      <c r="A9" s="71" t="s">
        <v>4525</v>
      </c>
      <c r="B9" s="107" t="s">
        <v>2507</v>
      </c>
      <c r="C9" s="71" t="s">
        <v>4526</v>
      </c>
      <c r="D9" s="71" t="s">
        <v>4527</v>
      </c>
      <c r="E9" s="108"/>
      <c r="F9" s="109">
        <v>39797</v>
      </c>
      <c r="G9" s="109"/>
      <c r="H9" s="109">
        <v>39828</v>
      </c>
      <c r="I9" s="109"/>
      <c r="J9" s="71"/>
      <c r="K9" s="110"/>
    </row>
    <row r="10" spans="1:11">
      <c r="A10" s="71" t="s">
        <v>4528</v>
      </c>
      <c r="B10" s="107" t="s">
        <v>2506</v>
      </c>
      <c r="C10" s="71" t="s">
        <v>4529</v>
      </c>
      <c r="D10" s="71" t="s">
        <v>4530</v>
      </c>
      <c r="E10" s="108"/>
      <c r="F10" s="109">
        <v>39881</v>
      </c>
      <c r="G10" s="109"/>
      <c r="H10" s="109">
        <v>39912</v>
      </c>
      <c r="I10" s="109"/>
      <c r="J10" s="71"/>
      <c r="K10" s="110"/>
    </row>
    <row r="11" spans="1:11" ht="22.5">
      <c r="A11" s="71" t="s">
        <v>2508</v>
      </c>
      <c r="B11" s="107" t="s">
        <v>2509</v>
      </c>
      <c r="C11" s="71" t="s">
        <v>2510</v>
      </c>
      <c r="D11" s="71" t="s">
        <v>2511</v>
      </c>
      <c r="E11" s="108">
        <v>54935000</v>
      </c>
      <c r="F11" s="109">
        <v>39742</v>
      </c>
      <c r="G11" s="109"/>
      <c r="H11" s="109">
        <v>39743</v>
      </c>
      <c r="I11" s="109"/>
      <c r="J11" s="71"/>
      <c r="K11" s="110"/>
    </row>
    <row r="12" spans="1:11" ht="22.5">
      <c r="A12" s="71" t="s">
        <v>4531</v>
      </c>
      <c r="B12" s="107" t="s">
        <v>4532</v>
      </c>
      <c r="C12" s="71" t="s">
        <v>2512</v>
      </c>
      <c r="D12" s="71" t="s">
        <v>4533</v>
      </c>
      <c r="E12" s="108">
        <v>12872000</v>
      </c>
      <c r="F12" s="109">
        <v>39849</v>
      </c>
      <c r="G12" s="109"/>
      <c r="H12" s="109">
        <v>39889</v>
      </c>
      <c r="I12" s="109">
        <v>39909</v>
      </c>
      <c r="J12" s="71"/>
      <c r="K12" s="110" t="s">
        <v>2877</v>
      </c>
    </row>
    <row r="13" spans="1:11">
      <c r="A13" s="71" t="s">
        <v>4534</v>
      </c>
      <c r="B13" s="107" t="s">
        <v>2507</v>
      </c>
      <c r="C13" s="71" t="s">
        <v>2513</v>
      </c>
      <c r="D13" s="71" t="s">
        <v>4535</v>
      </c>
      <c r="E13" s="108">
        <v>3672506</v>
      </c>
      <c r="F13" s="109">
        <v>39840</v>
      </c>
      <c r="G13" s="109"/>
      <c r="H13" s="109">
        <v>39897</v>
      </c>
      <c r="I13" s="109">
        <v>39898</v>
      </c>
      <c r="J13" s="71"/>
      <c r="K13" s="110"/>
    </row>
    <row r="14" spans="1:11" ht="22.5">
      <c r="A14" s="71" t="s">
        <v>4536</v>
      </c>
      <c r="B14" s="107" t="s">
        <v>2507</v>
      </c>
      <c r="C14" s="71" t="s">
        <v>2514</v>
      </c>
      <c r="D14" s="71" t="s">
        <v>4537</v>
      </c>
      <c r="E14" s="108">
        <v>1548007</v>
      </c>
      <c r="F14" s="109">
        <v>39841</v>
      </c>
      <c r="G14" s="109"/>
      <c r="H14" s="109">
        <v>39897</v>
      </c>
      <c r="I14" s="109">
        <v>39903</v>
      </c>
      <c r="J14" s="71"/>
      <c r="K14" s="110"/>
    </row>
    <row r="15" spans="1:11">
      <c r="A15" s="71" t="s">
        <v>4538</v>
      </c>
      <c r="B15" s="107" t="s">
        <v>2507</v>
      </c>
      <c r="C15" s="71" t="s">
        <v>2515</v>
      </c>
      <c r="D15" s="71" t="s">
        <v>4539</v>
      </c>
      <c r="E15" s="108">
        <v>1501104.85</v>
      </c>
      <c r="F15" s="109">
        <v>39842</v>
      </c>
      <c r="G15" s="109"/>
      <c r="H15" s="109">
        <v>39897</v>
      </c>
      <c r="I15" s="109">
        <v>39905</v>
      </c>
      <c r="J15" s="71"/>
      <c r="K15" s="110"/>
    </row>
    <row r="16" spans="1:11">
      <c r="A16" s="71" t="s">
        <v>4540</v>
      </c>
      <c r="B16" s="107" t="s">
        <v>2516</v>
      </c>
      <c r="C16" s="71" t="s">
        <v>2517</v>
      </c>
      <c r="D16" s="71" t="s">
        <v>4541</v>
      </c>
      <c r="E16" s="108">
        <v>3425132.8</v>
      </c>
      <c r="F16" s="109">
        <v>39743</v>
      </c>
      <c r="G16" s="109">
        <v>40066</v>
      </c>
      <c r="H16" s="109">
        <v>39751</v>
      </c>
      <c r="I16" s="109">
        <v>39756</v>
      </c>
      <c r="J16" s="71"/>
      <c r="K16" s="110"/>
    </row>
    <row r="17" spans="1:11">
      <c r="A17" s="71" t="s">
        <v>4542</v>
      </c>
      <c r="B17" s="107" t="s">
        <v>4543</v>
      </c>
      <c r="C17" s="71" t="s">
        <v>2518</v>
      </c>
      <c r="D17" s="71" t="s">
        <v>4544</v>
      </c>
      <c r="E17" s="108">
        <v>40000</v>
      </c>
      <c r="F17" s="109">
        <v>39722</v>
      </c>
      <c r="G17" s="109"/>
      <c r="H17" s="109">
        <v>39753</v>
      </c>
      <c r="I17" s="109"/>
      <c r="J17" s="71"/>
      <c r="K17" s="110"/>
    </row>
    <row r="18" spans="1:11">
      <c r="A18" s="71" t="s">
        <v>4545</v>
      </c>
      <c r="B18" s="107" t="s">
        <v>4543</v>
      </c>
      <c r="C18" s="71" t="s">
        <v>4546</v>
      </c>
      <c r="D18" s="71" t="s">
        <v>4547</v>
      </c>
      <c r="E18" s="108"/>
      <c r="F18" s="109">
        <v>39814</v>
      </c>
      <c r="G18" s="109"/>
      <c r="H18" s="109">
        <v>39873</v>
      </c>
      <c r="I18" s="109"/>
      <c r="J18" s="71"/>
      <c r="K18" s="110"/>
    </row>
    <row r="19" spans="1:11">
      <c r="A19" s="71" t="s">
        <v>2519</v>
      </c>
      <c r="B19" s="107" t="s">
        <v>2520</v>
      </c>
      <c r="C19" s="71" t="s">
        <v>2521</v>
      </c>
      <c r="D19" s="71" t="s">
        <v>2522</v>
      </c>
      <c r="E19" s="108">
        <v>155527</v>
      </c>
      <c r="F19" s="109">
        <v>39728</v>
      </c>
      <c r="G19" s="109">
        <v>39937</v>
      </c>
      <c r="H19" s="109">
        <v>39749</v>
      </c>
      <c r="I19" s="109"/>
      <c r="J19" s="71"/>
      <c r="K19" s="110"/>
    </row>
    <row r="20" spans="1:11">
      <c r="A20" s="71" t="s">
        <v>4548</v>
      </c>
      <c r="B20" s="107" t="s">
        <v>4549</v>
      </c>
      <c r="C20" s="71" t="s">
        <v>4550</v>
      </c>
      <c r="D20" s="71" t="s">
        <v>4551</v>
      </c>
      <c r="E20" s="108">
        <v>888000</v>
      </c>
      <c r="F20" s="109">
        <v>39737</v>
      </c>
      <c r="G20" s="109"/>
      <c r="H20" s="109">
        <v>39758</v>
      </c>
      <c r="I20" s="109">
        <v>39772</v>
      </c>
      <c r="J20" s="71"/>
      <c r="K20" s="110"/>
    </row>
    <row r="21" spans="1:11">
      <c r="A21" s="71" t="s">
        <v>4552</v>
      </c>
      <c r="B21" s="107" t="s">
        <v>4553</v>
      </c>
      <c r="C21" s="71" t="s">
        <v>2523</v>
      </c>
      <c r="D21" s="71" t="s">
        <v>4554</v>
      </c>
      <c r="E21" s="108">
        <v>455837</v>
      </c>
      <c r="F21" s="109">
        <v>40157</v>
      </c>
      <c r="G21" s="109">
        <v>40198</v>
      </c>
      <c r="H21" s="109">
        <v>39835</v>
      </c>
      <c r="I21" s="109">
        <v>39913</v>
      </c>
      <c r="J21" s="71"/>
      <c r="K21" s="110"/>
    </row>
    <row r="22" spans="1:11">
      <c r="A22" s="71" t="s">
        <v>4555</v>
      </c>
      <c r="B22" s="107" t="s">
        <v>4556</v>
      </c>
      <c r="C22" s="71" t="s">
        <v>2523</v>
      </c>
      <c r="D22" s="71" t="s">
        <v>4557</v>
      </c>
      <c r="E22" s="108">
        <v>697788</v>
      </c>
      <c r="F22" s="109">
        <v>40158</v>
      </c>
      <c r="G22" s="109">
        <v>40198</v>
      </c>
      <c r="H22" s="109">
        <v>39835</v>
      </c>
      <c r="I22" s="109">
        <v>39913</v>
      </c>
      <c r="J22" s="71"/>
      <c r="K22" s="110"/>
    </row>
    <row r="23" spans="1:11">
      <c r="A23" s="71" t="s">
        <v>4558</v>
      </c>
      <c r="B23" s="107" t="s">
        <v>4553</v>
      </c>
      <c r="C23" s="71" t="s">
        <v>2523</v>
      </c>
      <c r="D23" s="71" t="s">
        <v>4559</v>
      </c>
      <c r="E23" s="108">
        <v>461134</v>
      </c>
      <c r="F23" s="109">
        <v>39793</v>
      </c>
      <c r="G23" s="109">
        <v>40198</v>
      </c>
      <c r="H23" s="109">
        <v>39835</v>
      </c>
      <c r="I23" s="109">
        <v>39913</v>
      </c>
      <c r="J23" s="71"/>
      <c r="K23" s="110"/>
    </row>
    <row r="24" spans="1:11" ht="22.5">
      <c r="A24" s="71" t="s">
        <v>4560</v>
      </c>
      <c r="B24" s="107" t="s">
        <v>2524</v>
      </c>
      <c r="C24" s="71" t="s">
        <v>4561</v>
      </c>
      <c r="D24" s="71" t="s">
        <v>4562</v>
      </c>
      <c r="E24" s="108">
        <v>112000</v>
      </c>
      <c r="F24" s="109">
        <v>39730</v>
      </c>
      <c r="G24" s="109"/>
      <c r="H24" s="109">
        <v>39759</v>
      </c>
      <c r="I24" s="109">
        <v>39765</v>
      </c>
      <c r="J24" s="71"/>
      <c r="K24" s="110"/>
    </row>
    <row r="25" spans="1:11" ht="22.5">
      <c r="A25" s="71" t="s">
        <v>4563</v>
      </c>
      <c r="B25" s="107" t="s">
        <v>2525</v>
      </c>
      <c r="C25" s="71" t="s">
        <v>4564</v>
      </c>
      <c r="D25" s="71" t="s">
        <v>4565</v>
      </c>
      <c r="E25" s="108">
        <v>93100</v>
      </c>
      <c r="F25" s="109">
        <v>39748</v>
      </c>
      <c r="G25" s="109">
        <v>39798</v>
      </c>
      <c r="H25" s="109">
        <v>39757</v>
      </c>
      <c r="I25" s="109">
        <v>39759</v>
      </c>
      <c r="J25" s="71" t="s">
        <v>2518</v>
      </c>
      <c r="K25" s="110"/>
    </row>
    <row r="26" spans="1:11">
      <c r="A26" s="71" t="s">
        <v>4566</v>
      </c>
      <c r="B26" s="107" t="s">
        <v>4567</v>
      </c>
      <c r="C26" s="71" t="s">
        <v>4568</v>
      </c>
      <c r="D26" s="71" t="s">
        <v>4569</v>
      </c>
      <c r="E26" s="108">
        <v>906662</v>
      </c>
      <c r="F26" s="109">
        <v>39750</v>
      </c>
      <c r="G26" s="109">
        <v>39911</v>
      </c>
      <c r="H26" s="109">
        <v>39759</v>
      </c>
      <c r="I26" s="109">
        <v>39786</v>
      </c>
      <c r="J26" s="71"/>
      <c r="K26" s="110"/>
    </row>
    <row r="27" spans="1:11">
      <c r="A27" s="71" t="s">
        <v>4570</v>
      </c>
      <c r="B27" s="107" t="s">
        <v>2507</v>
      </c>
      <c r="C27" s="71" t="s">
        <v>4571</v>
      </c>
      <c r="D27" s="71" t="s">
        <v>4572</v>
      </c>
      <c r="E27" s="108">
        <v>162945.28</v>
      </c>
      <c r="F27" s="109">
        <v>40064</v>
      </c>
      <c r="G27" s="109"/>
      <c r="H27" s="109">
        <v>40065</v>
      </c>
      <c r="I27" s="109">
        <v>40066</v>
      </c>
      <c r="J27" s="71"/>
      <c r="K27" s="110"/>
    </row>
    <row r="28" spans="1:11" ht="22.5">
      <c r="A28" s="71" t="s">
        <v>4573</v>
      </c>
      <c r="B28" s="107" t="s">
        <v>2507</v>
      </c>
      <c r="C28" s="71" t="s">
        <v>4574</v>
      </c>
      <c r="D28" s="71" t="s">
        <v>4575</v>
      </c>
      <c r="E28" s="108">
        <v>55968.5</v>
      </c>
      <c r="F28" s="109">
        <v>39722</v>
      </c>
      <c r="G28" s="109">
        <v>39822</v>
      </c>
      <c r="H28" s="109">
        <v>39743</v>
      </c>
      <c r="I28" s="109" t="s">
        <v>4576</v>
      </c>
      <c r="J28" s="71" t="s">
        <v>2518</v>
      </c>
      <c r="K28" s="110"/>
    </row>
    <row r="29" spans="1:11">
      <c r="A29" s="71" t="s">
        <v>4577</v>
      </c>
      <c r="B29" s="107" t="s">
        <v>2509</v>
      </c>
      <c r="C29" s="71" t="s">
        <v>2526</v>
      </c>
      <c r="D29" s="71" t="s">
        <v>4578</v>
      </c>
      <c r="E29" s="108">
        <v>222176.44</v>
      </c>
      <c r="F29" s="109">
        <v>39737</v>
      </c>
      <c r="G29" s="109">
        <v>40025</v>
      </c>
      <c r="H29" s="109">
        <v>39750</v>
      </c>
      <c r="I29" s="109">
        <v>39751</v>
      </c>
      <c r="J29" s="71"/>
      <c r="K29" s="110"/>
    </row>
    <row r="30" spans="1:11" ht="22.5">
      <c r="A30" s="71" t="s">
        <v>4579</v>
      </c>
      <c r="B30" s="107" t="s">
        <v>2527</v>
      </c>
      <c r="C30" s="71"/>
      <c r="D30" s="71" t="s">
        <v>4580</v>
      </c>
      <c r="E30" s="108">
        <v>600000</v>
      </c>
      <c r="F30" s="109">
        <v>39773</v>
      </c>
      <c r="G30" s="109"/>
      <c r="H30" s="109">
        <v>39784</v>
      </c>
      <c r="I30" s="109"/>
      <c r="J30" s="71"/>
      <c r="K30" s="110"/>
    </row>
    <row r="31" spans="1:11" ht="22.5">
      <c r="A31" s="71" t="s">
        <v>4581</v>
      </c>
      <c r="B31" s="107" t="s">
        <v>2528</v>
      </c>
      <c r="C31" s="71" t="s">
        <v>4582</v>
      </c>
      <c r="D31" s="71" t="s">
        <v>4583</v>
      </c>
      <c r="E31" s="108">
        <v>399076.2</v>
      </c>
      <c r="F31" s="109">
        <v>39752</v>
      </c>
      <c r="G31" s="109"/>
      <c r="H31" s="109">
        <v>39758</v>
      </c>
      <c r="I31" s="109">
        <v>39916</v>
      </c>
      <c r="J31" s="71"/>
      <c r="K31" s="110"/>
    </row>
    <row r="32" spans="1:11">
      <c r="A32" s="71" t="s">
        <v>2529</v>
      </c>
      <c r="B32" s="107" t="s">
        <v>2524</v>
      </c>
      <c r="C32" s="71" t="s">
        <v>2530</v>
      </c>
      <c r="D32" s="71" t="s">
        <v>2531</v>
      </c>
      <c r="E32" s="108">
        <v>146173.32199999999</v>
      </c>
      <c r="F32" s="109">
        <v>39730</v>
      </c>
      <c r="G32" s="109">
        <v>39923</v>
      </c>
      <c r="H32" s="109">
        <v>39743</v>
      </c>
      <c r="I32" s="109">
        <v>39923</v>
      </c>
      <c r="J32" s="71"/>
      <c r="K32" s="110" t="s">
        <v>2877</v>
      </c>
    </row>
    <row r="33" spans="1:11">
      <c r="A33" s="71" t="s">
        <v>4584</v>
      </c>
      <c r="B33" s="107" t="s">
        <v>2504</v>
      </c>
      <c r="C33" s="71" t="s">
        <v>4585</v>
      </c>
      <c r="D33" s="71" t="s">
        <v>4586</v>
      </c>
      <c r="E33" s="108">
        <v>456960</v>
      </c>
      <c r="F33" s="109">
        <v>39836</v>
      </c>
      <c r="G33" s="109"/>
      <c r="H33" s="109" t="s">
        <v>4587</v>
      </c>
      <c r="I33" s="109">
        <v>39869</v>
      </c>
      <c r="J33" s="71"/>
      <c r="K33" s="110"/>
    </row>
    <row r="34" spans="1:11">
      <c r="A34" s="71" t="s">
        <v>4588</v>
      </c>
      <c r="B34" s="107" t="s">
        <v>2504</v>
      </c>
      <c r="C34" s="71" t="s">
        <v>2532</v>
      </c>
      <c r="D34" s="71" t="s">
        <v>4589</v>
      </c>
      <c r="E34" s="108">
        <v>720240</v>
      </c>
      <c r="F34" s="109">
        <v>39743</v>
      </c>
      <c r="G34" s="109">
        <v>40064</v>
      </c>
      <c r="H34" s="109">
        <v>40143</v>
      </c>
      <c r="I34" s="109">
        <v>39869</v>
      </c>
      <c r="J34" s="71"/>
      <c r="K34" s="110"/>
    </row>
    <row r="35" spans="1:11">
      <c r="A35" s="71" t="s">
        <v>2533</v>
      </c>
      <c r="B35" s="107" t="s">
        <v>2534</v>
      </c>
      <c r="C35" s="71" t="s">
        <v>2521</v>
      </c>
      <c r="D35" s="71" t="s">
        <v>2535</v>
      </c>
      <c r="E35" s="108">
        <v>948362</v>
      </c>
      <c r="F35" s="109">
        <v>39863</v>
      </c>
      <c r="G35" s="109"/>
      <c r="H35" s="109">
        <v>39902</v>
      </c>
      <c r="I35" s="109">
        <v>39932</v>
      </c>
      <c r="J35" s="71"/>
      <c r="K35" s="110"/>
    </row>
    <row r="36" spans="1:11" ht="33.75">
      <c r="A36" s="71" t="s">
        <v>4590</v>
      </c>
      <c r="B36" s="107" t="s">
        <v>4567</v>
      </c>
      <c r="C36" s="71" t="s">
        <v>4591</v>
      </c>
      <c r="D36" s="71" t="s">
        <v>4592</v>
      </c>
      <c r="E36" s="108">
        <v>2462300</v>
      </c>
      <c r="F36" s="109">
        <v>39895</v>
      </c>
      <c r="G36" s="109"/>
      <c r="H36" s="109">
        <v>39926</v>
      </c>
      <c r="I36" s="109"/>
      <c r="J36" s="71" t="s">
        <v>4593</v>
      </c>
      <c r="K36" s="110"/>
    </row>
    <row r="37" spans="1:11" ht="22.5">
      <c r="A37" s="71" t="s">
        <v>4594</v>
      </c>
      <c r="B37" s="107" t="s">
        <v>4595</v>
      </c>
      <c r="C37" s="71" t="s">
        <v>4596</v>
      </c>
      <c r="D37" s="71" t="s">
        <v>4597</v>
      </c>
      <c r="E37" s="108">
        <v>435000</v>
      </c>
      <c r="F37" s="109">
        <v>39757</v>
      </c>
      <c r="G37" s="109">
        <v>39944</v>
      </c>
      <c r="H37" s="109">
        <v>39770</v>
      </c>
      <c r="I37" s="109">
        <v>39771</v>
      </c>
      <c r="J37" s="71" t="s">
        <v>4598</v>
      </c>
      <c r="K37" s="110"/>
    </row>
    <row r="38" spans="1:11" ht="22.5">
      <c r="A38" s="71" t="s">
        <v>4599</v>
      </c>
      <c r="B38" s="107" t="s">
        <v>2506</v>
      </c>
      <c r="C38" s="71" t="s">
        <v>4517</v>
      </c>
      <c r="D38" s="71" t="s">
        <v>4600</v>
      </c>
      <c r="E38" s="108"/>
      <c r="F38" s="109">
        <v>39965</v>
      </c>
      <c r="G38" s="109"/>
      <c r="H38" s="109">
        <v>39995</v>
      </c>
      <c r="I38" s="109"/>
      <c r="J38" s="71" t="s">
        <v>4517</v>
      </c>
      <c r="K38" s="110"/>
    </row>
    <row r="39" spans="1:11">
      <c r="A39" s="71" t="s">
        <v>4601</v>
      </c>
      <c r="B39" s="107" t="s">
        <v>2536</v>
      </c>
      <c r="C39" s="71" t="s">
        <v>4602</v>
      </c>
      <c r="D39" s="71" t="s">
        <v>4603</v>
      </c>
      <c r="E39" s="108">
        <v>535278</v>
      </c>
      <c r="F39" s="109">
        <v>40136</v>
      </c>
      <c r="G39" s="109"/>
      <c r="H39" s="109">
        <v>39845</v>
      </c>
      <c r="I39" s="109">
        <v>39969</v>
      </c>
      <c r="J39" s="71"/>
      <c r="K39" s="110"/>
    </row>
    <row r="40" spans="1:11">
      <c r="A40" s="71" t="s">
        <v>4604</v>
      </c>
      <c r="B40" s="107" t="s">
        <v>4605</v>
      </c>
      <c r="C40" s="71" t="s">
        <v>4606</v>
      </c>
      <c r="D40" s="71" t="s">
        <v>4607</v>
      </c>
      <c r="E40" s="108">
        <v>332356.65000000002</v>
      </c>
      <c r="F40" s="109">
        <v>39764</v>
      </c>
      <c r="G40" s="109"/>
      <c r="H40" s="109">
        <v>39791</v>
      </c>
      <c r="I40" s="109">
        <v>39819</v>
      </c>
      <c r="J40" s="71"/>
      <c r="K40" s="110"/>
    </row>
    <row r="41" spans="1:11">
      <c r="A41" s="71" t="s">
        <v>4608</v>
      </c>
      <c r="B41" s="107" t="s">
        <v>2537</v>
      </c>
      <c r="C41" s="71" t="s">
        <v>4523</v>
      </c>
      <c r="D41" s="71" t="s">
        <v>4609</v>
      </c>
      <c r="E41" s="108">
        <v>2357644</v>
      </c>
      <c r="F41" s="109">
        <v>39875</v>
      </c>
      <c r="G41" s="109"/>
      <c r="H41" s="109">
        <v>39782</v>
      </c>
      <c r="I41" s="109">
        <v>39906</v>
      </c>
      <c r="J41" s="71"/>
      <c r="K41" s="110"/>
    </row>
    <row r="42" spans="1:11">
      <c r="A42" s="71" t="s">
        <v>4610</v>
      </c>
      <c r="B42" s="107" t="s">
        <v>2538</v>
      </c>
      <c r="C42" s="71" t="s">
        <v>2539</v>
      </c>
      <c r="D42" s="71" t="s">
        <v>4611</v>
      </c>
      <c r="E42" s="108">
        <v>690381.15</v>
      </c>
      <c r="F42" s="109">
        <v>39735</v>
      </c>
      <c r="G42" s="109">
        <v>40205</v>
      </c>
      <c r="H42" s="109">
        <v>20363</v>
      </c>
      <c r="I42" s="109">
        <v>40007</v>
      </c>
      <c r="J42" s="71"/>
      <c r="K42" s="110"/>
    </row>
    <row r="43" spans="1:11">
      <c r="A43" s="71" t="s">
        <v>4612</v>
      </c>
      <c r="B43" s="107" t="s">
        <v>2538</v>
      </c>
      <c r="C43" s="71" t="s">
        <v>2540</v>
      </c>
      <c r="D43" s="71" t="s">
        <v>4613</v>
      </c>
      <c r="E43" s="108">
        <v>4148575.53</v>
      </c>
      <c r="F43" s="109">
        <v>39878</v>
      </c>
      <c r="G43" s="109"/>
      <c r="H43" s="109">
        <v>39885</v>
      </c>
      <c r="I43" s="109">
        <v>39906</v>
      </c>
      <c r="J43" s="71"/>
      <c r="K43" s="110"/>
    </row>
    <row r="44" spans="1:11" ht="22.5">
      <c r="A44" s="71" t="s">
        <v>4614</v>
      </c>
      <c r="B44" s="107" t="s">
        <v>2541</v>
      </c>
      <c r="C44" s="71" t="s">
        <v>4615</v>
      </c>
      <c r="D44" s="71" t="s">
        <v>4616</v>
      </c>
      <c r="E44" s="108">
        <v>93588</v>
      </c>
      <c r="F44" s="109">
        <v>39727</v>
      </c>
      <c r="G44" s="109"/>
      <c r="H44" s="109">
        <v>39734</v>
      </c>
      <c r="I44" s="109">
        <v>39735</v>
      </c>
      <c r="J44" s="71" t="s">
        <v>2518</v>
      </c>
      <c r="K44" s="110"/>
    </row>
    <row r="45" spans="1:11">
      <c r="A45" s="71" t="s">
        <v>4617</v>
      </c>
      <c r="B45" s="107" t="s">
        <v>2542</v>
      </c>
      <c r="C45" s="71" t="s">
        <v>4618</v>
      </c>
      <c r="D45" s="71" t="s">
        <v>4619</v>
      </c>
      <c r="E45" s="108">
        <v>2713316.64</v>
      </c>
      <c r="F45" s="109">
        <v>39730</v>
      </c>
      <c r="G45" s="109">
        <v>39730</v>
      </c>
      <c r="H45" s="109">
        <v>39737</v>
      </c>
      <c r="I45" s="109">
        <v>39758</v>
      </c>
      <c r="J45" s="71"/>
      <c r="K45" s="110"/>
    </row>
    <row r="46" spans="1:11">
      <c r="A46" s="71" t="s">
        <v>4620</v>
      </c>
      <c r="B46" s="107" t="s">
        <v>2543</v>
      </c>
      <c r="C46" s="71" t="s">
        <v>4550</v>
      </c>
      <c r="D46" s="71" t="s">
        <v>4621</v>
      </c>
      <c r="E46" s="108">
        <v>551257.25</v>
      </c>
      <c r="F46" s="109">
        <v>39738</v>
      </c>
      <c r="G46" s="109" t="s">
        <v>4622</v>
      </c>
      <c r="H46" s="109">
        <v>39762</v>
      </c>
      <c r="I46" s="109">
        <v>39751</v>
      </c>
      <c r="J46" s="71"/>
      <c r="K46" s="110"/>
    </row>
    <row r="47" spans="1:11">
      <c r="A47" s="71" t="s">
        <v>4623</v>
      </c>
      <c r="B47" s="107" t="s">
        <v>4624</v>
      </c>
      <c r="C47" s="71" t="s">
        <v>1051</v>
      </c>
      <c r="D47" s="71" t="s">
        <v>4625</v>
      </c>
      <c r="E47" s="108">
        <v>400117.35</v>
      </c>
      <c r="F47" s="109">
        <v>39743</v>
      </c>
      <c r="G47" s="109"/>
      <c r="H47" s="109">
        <v>39751</v>
      </c>
      <c r="I47" s="109">
        <v>39751</v>
      </c>
      <c r="J47" s="71"/>
      <c r="K47" s="110"/>
    </row>
    <row r="48" spans="1:11">
      <c r="A48" s="71" t="s">
        <v>4626</v>
      </c>
      <c r="B48" s="107" t="s">
        <v>4627</v>
      </c>
      <c r="C48" s="71" t="s">
        <v>1052</v>
      </c>
      <c r="D48" s="71" t="s">
        <v>4628</v>
      </c>
      <c r="E48" s="108">
        <v>134774</v>
      </c>
      <c r="F48" s="109">
        <v>39722</v>
      </c>
      <c r="G48" s="109"/>
      <c r="H48" s="109">
        <v>39744</v>
      </c>
      <c r="I48" s="109">
        <v>39773</v>
      </c>
      <c r="J48" s="71"/>
      <c r="K48" s="110"/>
    </row>
    <row r="49" spans="1:11">
      <c r="A49" s="71" t="s">
        <v>4629</v>
      </c>
      <c r="B49" s="107" t="s">
        <v>4630</v>
      </c>
      <c r="C49" s="71" t="s">
        <v>4631</v>
      </c>
      <c r="D49" s="71" t="s">
        <v>4632</v>
      </c>
      <c r="E49" s="108">
        <v>330000</v>
      </c>
      <c r="F49" s="109">
        <v>39731</v>
      </c>
      <c r="G49" s="109"/>
      <c r="H49" s="109">
        <v>39995</v>
      </c>
      <c r="I49" s="109">
        <v>40380</v>
      </c>
      <c r="J49" s="71"/>
      <c r="K49" s="110"/>
    </row>
    <row r="50" spans="1:11">
      <c r="A50" s="71" t="s">
        <v>4633</v>
      </c>
      <c r="B50" s="107" t="s">
        <v>2543</v>
      </c>
      <c r="C50" s="71" t="s">
        <v>2530</v>
      </c>
      <c r="D50" s="71" t="s">
        <v>4634</v>
      </c>
      <c r="E50" s="108">
        <v>188654.27</v>
      </c>
      <c r="F50" s="109">
        <v>39743</v>
      </c>
      <c r="G50" s="109">
        <v>39982</v>
      </c>
      <c r="H50" s="109">
        <v>39762</v>
      </c>
      <c r="I50" s="109">
        <v>39766</v>
      </c>
      <c r="J50" s="71"/>
      <c r="K50" s="110"/>
    </row>
    <row r="51" spans="1:11">
      <c r="A51" s="71" t="s">
        <v>1053</v>
      </c>
      <c r="B51" s="107" t="s">
        <v>1054</v>
      </c>
      <c r="C51" s="71" t="s">
        <v>1055</v>
      </c>
      <c r="D51" s="71" t="s">
        <v>1056</v>
      </c>
      <c r="E51" s="108">
        <v>149576</v>
      </c>
      <c r="F51" s="109">
        <v>39744</v>
      </c>
      <c r="G51" s="109">
        <v>40088</v>
      </c>
      <c r="H51" s="109">
        <v>39749</v>
      </c>
      <c r="I51" s="109">
        <v>39757</v>
      </c>
      <c r="J51" s="71"/>
      <c r="K51" s="110"/>
    </row>
    <row r="52" spans="1:11">
      <c r="A52" s="71" t="s">
        <v>4635</v>
      </c>
      <c r="B52" s="107" t="s">
        <v>2543</v>
      </c>
      <c r="C52" s="71" t="s">
        <v>1057</v>
      </c>
      <c r="D52" s="71" t="s">
        <v>4636</v>
      </c>
      <c r="E52" s="108">
        <v>173872.63</v>
      </c>
      <c r="F52" s="109">
        <v>39781</v>
      </c>
      <c r="G52" s="109">
        <v>39911</v>
      </c>
      <c r="H52" s="109">
        <v>39776</v>
      </c>
      <c r="I52" s="109">
        <v>39784</v>
      </c>
      <c r="J52" s="71"/>
      <c r="K52" s="110"/>
    </row>
    <row r="53" spans="1:11">
      <c r="A53" s="71" t="s">
        <v>4637</v>
      </c>
      <c r="B53" s="107" t="s">
        <v>4624</v>
      </c>
      <c r="C53" s="71" t="s">
        <v>1058</v>
      </c>
      <c r="D53" s="71" t="s">
        <v>4638</v>
      </c>
      <c r="E53" s="108">
        <v>3236570</v>
      </c>
      <c r="F53" s="109">
        <v>39772</v>
      </c>
      <c r="G53" s="109"/>
      <c r="H53" s="109">
        <v>39792</v>
      </c>
      <c r="I53" s="109">
        <v>39804</v>
      </c>
      <c r="J53" s="71"/>
      <c r="K53" s="110"/>
    </row>
    <row r="54" spans="1:11">
      <c r="A54" s="71" t="s">
        <v>4639</v>
      </c>
      <c r="B54" s="107" t="s">
        <v>4630</v>
      </c>
      <c r="C54" s="71" t="s">
        <v>4640</v>
      </c>
      <c r="D54" s="71" t="s">
        <v>4641</v>
      </c>
      <c r="E54" s="108">
        <v>77000</v>
      </c>
      <c r="F54" s="109">
        <v>39745</v>
      </c>
      <c r="G54" s="109"/>
      <c r="H54" s="109">
        <v>39745</v>
      </c>
      <c r="I54" s="109">
        <v>40380</v>
      </c>
      <c r="J54" s="71"/>
      <c r="K54" s="110"/>
    </row>
    <row r="55" spans="1:11" ht="22.5">
      <c r="A55" s="71" t="s">
        <v>4642</v>
      </c>
      <c r="B55" s="107" t="s">
        <v>4643</v>
      </c>
      <c r="C55" s="71" t="s">
        <v>1059</v>
      </c>
      <c r="D55" s="71" t="s">
        <v>4644</v>
      </c>
      <c r="E55" s="108">
        <v>438650</v>
      </c>
      <c r="F55" s="109">
        <v>39895</v>
      </c>
      <c r="G55" s="109"/>
      <c r="H55" s="109">
        <v>39923</v>
      </c>
      <c r="I55" s="109">
        <v>39960</v>
      </c>
      <c r="J55" s="71"/>
      <c r="K55" s="110"/>
    </row>
    <row r="56" spans="1:11" ht="22.5">
      <c r="A56" s="71" t="s">
        <v>4645</v>
      </c>
      <c r="B56" s="107" t="s">
        <v>2509</v>
      </c>
      <c r="C56" s="71" t="s">
        <v>4646</v>
      </c>
      <c r="D56" s="71" t="s">
        <v>4647</v>
      </c>
      <c r="E56" s="108">
        <v>81765</v>
      </c>
      <c r="F56" s="109">
        <v>39742</v>
      </c>
      <c r="G56" s="109"/>
      <c r="H56" s="109">
        <v>39773</v>
      </c>
      <c r="I56" s="109">
        <v>39750</v>
      </c>
      <c r="J56" s="71" t="s">
        <v>2518</v>
      </c>
      <c r="K56" s="110"/>
    </row>
    <row r="57" spans="1:11">
      <c r="A57" s="71" t="s">
        <v>4648</v>
      </c>
      <c r="B57" s="107" t="s">
        <v>2516</v>
      </c>
      <c r="C57" s="71" t="s">
        <v>4649</v>
      </c>
      <c r="D57" s="71" t="s">
        <v>4650</v>
      </c>
      <c r="E57" s="108">
        <v>120822.38</v>
      </c>
      <c r="F57" s="109">
        <v>39758</v>
      </c>
      <c r="G57" s="109">
        <v>39968</v>
      </c>
      <c r="H57" s="109">
        <v>39792</v>
      </c>
      <c r="I57" s="109">
        <v>39797</v>
      </c>
      <c r="J57" s="71"/>
      <c r="K57" s="110"/>
    </row>
    <row r="58" spans="1:11">
      <c r="A58" s="71" t="s">
        <v>4651</v>
      </c>
      <c r="B58" s="107" t="s">
        <v>1060</v>
      </c>
      <c r="C58" s="71" t="s">
        <v>4652</v>
      </c>
      <c r="D58" s="71" t="s">
        <v>4653</v>
      </c>
      <c r="E58" s="108">
        <v>220070.39999999999</v>
      </c>
      <c r="F58" s="109">
        <v>39772</v>
      </c>
      <c r="G58" s="109">
        <v>40078</v>
      </c>
      <c r="H58" s="109">
        <v>39787</v>
      </c>
      <c r="I58" s="109">
        <v>39787</v>
      </c>
      <c r="J58" s="71"/>
      <c r="K58" s="110"/>
    </row>
    <row r="59" spans="1:11" ht="22.5">
      <c r="A59" s="71" t="s">
        <v>4654</v>
      </c>
      <c r="B59" s="107" t="s">
        <v>1060</v>
      </c>
      <c r="C59" s="71" t="s">
        <v>4655</v>
      </c>
      <c r="D59" s="71" t="s">
        <v>4656</v>
      </c>
      <c r="E59" s="108">
        <v>82429.149999999994</v>
      </c>
      <c r="F59" s="109">
        <v>39773</v>
      </c>
      <c r="G59" s="109">
        <v>39854</v>
      </c>
      <c r="H59" s="109">
        <v>39797</v>
      </c>
      <c r="I59" s="109">
        <v>40150</v>
      </c>
      <c r="J59" s="71"/>
      <c r="K59" s="110"/>
    </row>
    <row r="60" spans="1:11" ht="22.5">
      <c r="A60" s="71" t="s">
        <v>4657</v>
      </c>
      <c r="B60" s="107" t="s">
        <v>4658</v>
      </c>
      <c r="C60" s="71" t="s">
        <v>4659</v>
      </c>
      <c r="D60" s="71" t="s">
        <v>4660</v>
      </c>
      <c r="E60" s="108">
        <v>23240.25</v>
      </c>
      <c r="F60" s="109">
        <v>39773</v>
      </c>
      <c r="G60" s="109">
        <v>39828</v>
      </c>
      <c r="H60" s="109">
        <v>39784</v>
      </c>
      <c r="I60" s="109">
        <v>39784</v>
      </c>
      <c r="J60" s="71" t="s">
        <v>2518</v>
      </c>
      <c r="K60" s="110"/>
    </row>
    <row r="61" spans="1:11">
      <c r="A61" s="71" t="s">
        <v>4661</v>
      </c>
      <c r="B61" s="107" t="s">
        <v>2509</v>
      </c>
      <c r="C61" s="71" t="s">
        <v>4652</v>
      </c>
      <c r="D61" s="71" t="s">
        <v>4662</v>
      </c>
      <c r="E61" s="108">
        <v>298082</v>
      </c>
      <c r="F61" s="109">
        <v>39777</v>
      </c>
      <c r="G61" s="109">
        <v>40140</v>
      </c>
      <c r="H61" s="109">
        <v>39784</v>
      </c>
      <c r="I61" s="109">
        <v>39784</v>
      </c>
      <c r="J61" s="71"/>
      <c r="K61" s="110"/>
    </row>
    <row r="62" spans="1:11" ht="22.5">
      <c r="A62" s="71" t="s">
        <v>4663</v>
      </c>
      <c r="B62" s="107" t="s">
        <v>1061</v>
      </c>
      <c r="C62" s="71" t="s">
        <v>4664</v>
      </c>
      <c r="D62" s="71" t="s">
        <v>4665</v>
      </c>
      <c r="E62" s="108">
        <v>25452</v>
      </c>
      <c r="F62" s="109">
        <v>39791</v>
      </c>
      <c r="G62" s="109">
        <v>39856</v>
      </c>
      <c r="H62" s="109">
        <v>39801</v>
      </c>
      <c r="I62" s="109">
        <v>39820</v>
      </c>
      <c r="J62" s="71" t="s">
        <v>2518</v>
      </c>
      <c r="K62" s="110"/>
    </row>
    <row r="63" spans="1:11">
      <c r="A63" s="71" t="s">
        <v>4666</v>
      </c>
      <c r="B63" s="107" t="s">
        <v>2506</v>
      </c>
      <c r="C63" s="71"/>
      <c r="D63" s="71" t="s">
        <v>4667</v>
      </c>
      <c r="E63" s="108">
        <v>135075</v>
      </c>
      <c r="F63" s="109">
        <v>39770</v>
      </c>
      <c r="G63" s="109"/>
      <c r="H63" s="109">
        <v>39791</v>
      </c>
      <c r="I63" s="109"/>
      <c r="J63" s="71"/>
      <c r="K63" s="110"/>
    </row>
    <row r="64" spans="1:11">
      <c r="A64" s="71" t="s">
        <v>4668</v>
      </c>
      <c r="B64" s="107" t="s">
        <v>1062</v>
      </c>
      <c r="C64" s="71" t="s">
        <v>4669</v>
      </c>
      <c r="D64" s="71" t="s">
        <v>4670</v>
      </c>
      <c r="E64" s="108">
        <v>2175975</v>
      </c>
      <c r="F64" s="109">
        <v>39881</v>
      </c>
      <c r="G64" s="109"/>
      <c r="H64" s="109">
        <v>39934</v>
      </c>
      <c r="I64" s="109">
        <v>39941</v>
      </c>
      <c r="J64" s="71"/>
      <c r="K64" s="110"/>
    </row>
    <row r="65" spans="1:11" ht="22.5">
      <c r="A65" s="71" t="s">
        <v>4671</v>
      </c>
      <c r="B65" s="107" t="s">
        <v>4672</v>
      </c>
      <c r="C65" s="71" t="s">
        <v>2514</v>
      </c>
      <c r="D65" s="71" t="s">
        <v>4673</v>
      </c>
      <c r="E65" s="108">
        <v>2114007</v>
      </c>
      <c r="F65" s="109">
        <v>39923</v>
      </c>
      <c r="G65" s="109"/>
      <c r="H65" s="109">
        <v>39939</v>
      </c>
      <c r="I65" s="109">
        <v>39939</v>
      </c>
      <c r="J65" s="71"/>
      <c r="K65" s="110"/>
    </row>
    <row r="66" spans="1:11">
      <c r="A66" s="71" t="s">
        <v>4674</v>
      </c>
      <c r="B66" s="107" t="s">
        <v>4675</v>
      </c>
      <c r="C66" s="71" t="s">
        <v>4676</v>
      </c>
      <c r="D66" s="71" t="s">
        <v>4677</v>
      </c>
      <c r="E66" s="108"/>
      <c r="F66" s="109">
        <v>39821</v>
      </c>
      <c r="G66" s="109"/>
      <c r="H66" s="109">
        <v>39871</v>
      </c>
      <c r="I66" s="109"/>
      <c r="J66" s="71"/>
      <c r="K66" s="110"/>
    </row>
    <row r="67" spans="1:11">
      <c r="A67" s="71" t="s">
        <v>4678</v>
      </c>
      <c r="B67" s="107" t="s">
        <v>1060</v>
      </c>
      <c r="C67" s="71" t="s">
        <v>4652</v>
      </c>
      <c r="D67" s="71" t="s">
        <v>4679</v>
      </c>
      <c r="E67" s="108">
        <v>413385.51</v>
      </c>
      <c r="F67" s="109">
        <v>39890</v>
      </c>
      <c r="G67" s="109">
        <v>40030</v>
      </c>
      <c r="H67" s="109">
        <v>39909</v>
      </c>
      <c r="I67" s="109">
        <v>39903</v>
      </c>
      <c r="J67" s="71"/>
      <c r="K67" s="110"/>
    </row>
    <row r="68" spans="1:11" ht="22.5">
      <c r="A68" s="71" t="s">
        <v>4680</v>
      </c>
      <c r="B68" s="107" t="s">
        <v>2504</v>
      </c>
      <c r="C68" s="71" t="s">
        <v>2514</v>
      </c>
      <c r="D68" s="71" t="s">
        <v>4681</v>
      </c>
      <c r="E68" s="108">
        <v>1414862.04</v>
      </c>
      <c r="F68" s="109">
        <v>39801</v>
      </c>
      <c r="G68" s="109"/>
      <c r="H68" s="109">
        <v>39820</v>
      </c>
      <c r="I68" s="109">
        <v>39822</v>
      </c>
      <c r="J68" s="71"/>
      <c r="K68" s="110"/>
    </row>
    <row r="69" spans="1:11" ht="22.5">
      <c r="A69" s="71" t="s">
        <v>4682</v>
      </c>
      <c r="B69" s="107" t="s">
        <v>2509</v>
      </c>
      <c r="C69" s="71" t="s">
        <v>4683</v>
      </c>
      <c r="D69" s="71" t="s">
        <v>4684</v>
      </c>
      <c r="E69" s="108">
        <v>94168</v>
      </c>
      <c r="F69" s="109">
        <v>39777</v>
      </c>
      <c r="G69" s="109"/>
      <c r="H69" s="109">
        <v>39777</v>
      </c>
      <c r="I69" s="109">
        <v>39778</v>
      </c>
      <c r="J69" s="71" t="s">
        <v>2518</v>
      </c>
      <c r="K69" s="110"/>
    </row>
    <row r="70" spans="1:11">
      <c r="A70" s="71" t="s">
        <v>4685</v>
      </c>
      <c r="B70" s="107" t="s">
        <v>2525</v>
      </c>
      <c r="C70" s="71" t="s">
        <v>2532</v>
      </c>
      <c r="D70" s="71" t="s">
        <v>4686</v>
      </c>
      <c r="E70" s="108">
        <v>20000000</v>
      </c>
      <c r="F70" s="109">
        <v>39744</v>
      </c>
      <c r="G70" s="109"/>
      <c r="H70" s="109">
        <v>39757</v>
      </c>
      <c r="I70" s="109">
        <v>39757</v>
      </c>
      <c r="J70" s="71"/>
      <c r="K70" s="110"/>
    </row>
    <row r="71" spans="1:11" ht="22.5">
      <c r="A71" s="71" t="s">
        <v>4687</v>
      </c>
      <c r="B71" s="107" t="s">
        <v>2538</v>
      </c>
      <c r="C71" s="71" t="s">
        <v>2514</v>
      </c>
      <c r="D71" s="71" t="s">
        <v>4688</v>
      </c>
      <c r="E71" s="108">
        <v>187007</v>
      </c>
      <c r="F71" s="109">
        <v>40072</v>
      </c>
      <c r="G71" s="109"/>
      <c r="H71" s="109">
        <v>40078</v>
      </c>
      <c r="I71" s="109">
        <v>40081</v>
      </c>
      <c r="J71" s="71"/>
      <c r="K71" s="110"/>
    </row>
    <row r="72" spans="1:11">
      <c r="A72" s="71" t="s">
        <v>4689</v>
      </c>
      <c r="B72" s="107" t="s">
        <v>2542</v>
      </c>
      <c r="C72" s="71" t="s">
        <v>4690</v>
      </c>
      <c r="D72" s="71" t="s">
        <v>4691</v>
      </c>
      <c r="E72" s="108">
        <v>214636.92</v>
      </c>
      <c r="F72" s="109">
        <v>39777</v>
      </c>
      <c r="G72" s="109">
        <v>40126</v>
      </c>
      <c r="H72" s="109">
        <v>39800</v>
      </c>
      <c r="I72" s="109">
        <v>39829</v>
      </c>
      <c r="J72" s="71"/>
      <c r="K72" s="110"/>
    </row>
    <row r="73" spans="1:11">
      <c r="A73" s="71" t="s">
        <v>4692</v>
      </c>
      <c r="B73" s="107" t="s">
        <v>4630</v>
      </c>
      <c r="C73" s="71" t="s">
        <v>2518</v>
      </c>
      <c r="D73" s="71" t="s">
        <v>4693</v>
      </c>
      <c r="E73" s="108"/>
      <c r="F73" s="109">
        <v>39785</v>
      </c>
      <c r="G73" s="109"/>
      <c r="H73" s="109">
        <v>39792</v>
      </c>
      <c r="I73" s="109"/>
      <c r="J73" s="71"/>
      <c r="K73" s="110"/>
    </row>
    <row r="74" spans="1:11">
      <c r="A74" s="71" t="s">
        <v>4694</v>
      </c>
      <c r="B74" s="107" t="s">
        <v>4630</v>
      </c>
      <c r="C74" s="71" t="s">
        <v>2518</v>
      </c>
      <c r="D74" s="71" t="s">
        <v>4695</v>
      </c>
      <c r="E74" s="108"/>
      <c r="F74" s="109">
        <v>39785</v>
      </c>
      <c r="G74" s="109"/>
      <c r="H74" s="109">
        <v>39792</v>
      </c>
      <c r="I74" s="109"/>
      <c r="J74" s="71"/>
      <c r="K74" s="110"/>
    </row>
    <row r="75" spans="1:11">
      <c r="A75" s="71" t="s">
        <v>4696</v>
      </c>
      <c r="B75" s="107" t="s">
        <v>2507</v>
      </c>
      <c r="C75" s="71" t="s">
        <v>4550</v>
      </c>
      <c r="D75" s="71" t="s">
        <v>4697</v>
      </c>
      <c r="E75" s="108">
        <v>748748</v>
      </c>
      <c r="F75" s="109">
        <v>39784</v>
      </c>
      <c r="G75" s="109">
        <v>40322</v>
      </c>
      <c r="H75" s="109">
        <v>39799</v>
      </c>
      <c r="I75" s="109">
        <v>39825</v>
      </c>
      <c r="J75" s="71"/>
      <c r="K75" s="110"/>
    </row>
    <row r="76" spans="1:11">
      <c r="A76" s="71" t="s">
        <v>4698</v>
      </c>
      <c r="B76" s="107" t="s">
        <v>2506</v>
      </c>
      <c r="C76" s="71" t="s">
        <v>4699</v>
      </c>
      <c r="D76" s="71" t="s">
        <v>4700</v>
      </c>
      <c r="E76" s="108">
        <v>135000</v>
      </c>
      <c r="F76" s="109">
        <v>39785</v>
      </c>
      <c r="G76" s="109"/>
      <c r="H76" s="109">
        <v>39829</v>
      </c>
      <c r="I76" s="109">
        <v>40078</v>
      </c>
      <c r="J76" s="71"/>
      <c r="K76" s="110"/>
    </row>
    <row r="77" spans="1:11" ht="33.75">
      <c r="A77" s="71" t="s">
        <v>4701</v>
      </c>
      <c r="B77" s="107" t="s">
        <v>1063</v>
      </c>
      <c r="C77" s="71"/>
      <c r="D77" s="71" t="s">
        <v>4702</v>
      </c>
      <c r="E77" s="108">
        <v>2500000</v>
      </c>
      <c r="F77" s="109">
        <v>39821</v>
      </c>
      <c r="G77" s="109"/>
      <c r="H77" s="109">
        <v>39934</v>
      </c>
      <c r="I77" s="109"/>
      <c r="J77" s="71" t="s">
        <v>4703</v>
      </c>
      <c r="K77" s="110"/>
    </row>
    <row r="78" spans="1:11" ht="22.5">
      <c r="A78" s="71" t="s">
        <v>1064</v>
      </c>
      <c r="B78" s="107" t="s">
        <v>2520</v>
      </c>
      <c r="C78" s="71" t="s">
        <v>2512</v>
      </c>
      <c r="D78" s="71" t="s">
        <v>1065</v>
      </c>
      <c r="E78" s="108">
        <v>11823694</v>
      </c>
      <c r="F78" s="109">
        <v>39805</v>
      </c>
      <c r="G78" s="109">
        <v>40212</v>
      </c>
      <c r="H78" s="109">
        <v>39814</v>
      </c>
      <c r="I78" s="109">
        <v>39815</v>
      </c>
      <c r="J78" s="71"/>
      <c r="K78" s="110"/>
    </row>
    <row r="79" spans="1:11">
      <c r="A79" s="71" t="s">
        <v>4704</v>
      </c>
      <c r="B79" s="107" t="s">
        <v>2507</v>
      </c>
      <c r="C79" s="71" t="s">
        <v>4705</v>
      </c>
      <c r="D79" s="71" t="s">
        <v>4706</v>
      </c>
      <c r="E79" s="108">
        <v>115429.42</v>
      </c>
      <c r="F79" s="109">
        <v>39826</v>
      </c>
      <c r="G79" s="109">
        <v>40014</v>
      </c>
      <c r="H79" s="109">
        <v>39841</v>
      </c>
      <c r="I79" s="109">
        <v>39843</v>
      </c>
      <c r="J79" s="71"/>
      <c r="K79" s="110"/>
    </row>
    <row r="80" spans="1:11" ht="22.5">
      <c r="A80" s="71" t="s">
        <v>1066</v>
      </c>
      <c r="B80" s="107" t="s">
        <v>2524</v>
      </c>
      <c r="C80" s="71" t="s">
        <v>2514</v>
      </c>
      <c r="D80" s="71" t="s">
        <v>1067</v>
      </c>
      <c r="E80" s="108">
        <v>366142</v>
      </c>
      <c r="F80" s="109">
        <v>39794</v>
      </c>
      <c r="G80" s="109">
        <v>40112</v>
      </c>
      <c r="H80" s="109">
        <v>39829</v>
      </c>
      <c r="I80" s="109">
        <v>39843</v>
      </c>
      <c r="J80" s="71"/>
      <c r="K80" s="110"/>
    </row>
    <row r="81" spans="1:11">
      <c r="A81" s="71" t="s">
        <v>4707</v>
      </c>
      <c r="B81" s="107" t="s">
        <v>1068</v>
      </c>
      <c r="C81" s="71" t="s">
        <v>4708</v>
      </c>
      <c r="D81" s="71" t="s">
        <v>4709</v>
      </c>
      <c r="E81" s="108">
        <v>529479.06000000006</v>
      </c>
      <c r="F81" s="109">
        <v>39833</v>
      </c>
      <c r="G81" s="109">
        <v>40129</v>
      </c>
      <c r="H81" s="109">
        <v>39854</v>
      </c>
      <c r="I81" s="109">
        <v>39855</v>
      </c>
      <c r="J81" s="71"/>
      <c r="K81" s="110"/>
    </row>
    <row r="82" spans="1:11">
      <c r="A82" s="71" t="s">
        <v>4710</v>
      </c>
      <c r="B82" s="107" t="s">
        <v>2506</v>
      </c>
      <c r="C82" s="71" t="s">
        <v>4711</v>
      </c>
      <c r="D82" s="71" t="s">
        <v>4712</v>
      </c>
      <c r="E82" s="108">
        <v>190500</v>
      </c>
      <c r="F82" s="109">
        <v>39770</v>
      </c>
      <c r="G82" s="109"/>
      <c r="H82" s="109">
        <v>39791</v>
      </c>
      <c r="I82" s="109"/>
      <c r="J82" s="71"/>
      <c r="K82" s="110"/>
    </row>
    <row r="83" spans="1:11">
      <c r="A83" s="71" t="s">
        <v>4713</v>
      </c>
      <c r="B83" s="107" t="s">
        <v>1063</v>
      </c>
      <c r="C83" s="71" t="s">
        <v>4714</v>
      </c>
      <c r="D83" s="71" t="s">
        <v>4715</v>
      </c>
      <c r="E83" s="108">
        <v>108076</v>
      </c>
      <c r="F83" s="109">
        <v>39924</v>
      </c>
      <c r="G83" s="109"/>
      <c r="H83" s="109">
        <v>39954</v>
      </c>
      <c r="I83" s="109">
        <v>39955</v>
      </c>
      <c r="J83" s="71"/>
      <c r="K83" s="110"/>
    </row>
    <row r="84" spans="1:11">
      <c r="A84" s="71" t="s">
        <v>4716</v>
      </c>
      <c r="B84" s="107" t="s">
        <v>2538</v>
      </c>
      <c r="C84" s="71" t="s">
        <v>2515</v>
      </c>
      <c r="D84" s="71" t="s">
        <v>4717</v>
      </c>
      <c r="E84" s="108">
        <v>253453.67</v>
      </c>
      <c r="F84" s="109">
        <v>39899</v>
      </c>
      <c r="G84" s="109">
        <v>40066</v>
      </c>
      <c r="H84" s="109">
        <v>39909</v>
      </c>
      <c r="I84" s="109">
        <v>39913</v>
      </c>
      <c r="J84" s="71"/>
      <c r="K84" s="110"/>
    </row>
    <row r="85" spans="1:11">
      <c r="A85" s="71" t="s">
        <v>4718</v>
      </c>
      <c r="B85" s="107" t="s">
        <v>2509</v>
      </c>
      <c r="C85" s="71" t="s">
        <v>1069</v>
      </c>
      <c r="D85" s="71" t="s">
        <v>4719</v>
      </c>
      <c r="E85" s="108">
        <v>527894</v>
      </c>
      <c r="F85" s="109">
        <v>39460</v>
      </c>
      <c r="G85" s="109">
        <v>40074</v>
      </c>
      <c r="H85" s="109">
        <v>39827</v>
      </c>
      <c r="I85" s="109">
        <v>39828</v>
      </c>
      <c r="J85" s="71"/>
      <c r="K85" s="110"/>
    </row>
    <row r="86" spans="1:11">
      <c r="A86" s="71" t="s">
        <v>4720</v>
      </c>
      <c r="B86" s="107" t="s">
        <v>4721</v>
      </c>
      <c r="C86" s="71" t="s">
        <v>4722</v>
      </c>
      <c r="D86" s="71" t="s">
        <v>4723</v>
      </c>
      <c r="E86" s="108"/>
      <c r="F86" s="109">
        <v>39965</v>
      </c>
      <c r="G86" s="109"/>
      <c r="H86" s="109">
        <v>39988</v>
      </c>
      <c r="I86" s="109"/>
      <c r="J86" s="71"/>
      <c r="K86" s="110"/>
    </row>
    <row r="87" spans="1:11" ht="22.5">
      <c r="A87" s="71" t="s">
        <v>1070</v>
      </c>
      <c r="B87" s="107" t="s">
        <v>2506</v>
      </c>
      <c r="C87" s="71" t="s">
        <v>1071</v>
      </c>
      <c r="D87" s="71" t="s">
        <v>1072</v>
      </c>
      <c r="E87" s="108">
        <v>319332.11</v>
      </c>
      <c r="F87" s="109">
        <v>39764</v>
      </c>
      <c r="G87" s="109"/>
      <c r="H87" s="109">
        <v>39776</v>
      </c>
      <c r="I87" s="109">
        <v>39790</v>
      </c>
      <c r="J87" s="71"/>
      <c r="K87" s="110"/>
    </row>
    <row r="88" spans="1:11" ht="22.5">
      <c r="A88" s="71" t="s">
        <v>4724</v>
      </c>
      <c r="B88" s="107" t="s">
        <v>4532</v>
      </c>
      <c r="C88" s="71" t="s">
        <v>2514</v>
      </c>
      <c r="D88" s="71" t="s">
        <v>4725</v>
      </c>
      <c r="E88" s="108">
        <v>1549007</v>
      </c>
      <c r="F88" s="109">
        <v>40029</v>
      </c>
      <c r="G88" s="109"/>
      <c r="H88" s="109">
        <v>40030</v>
      </c>
      <c r="I88" s="109">
        <v>40030</v>
      </c>
      <c r="J88" s="71"/>
      <c r="K88" s="110"/>
    </row>
    <row r="89" spans="1:11">
      <c r="A89" s="71" t="s">
        <v>4726</v>
      </c>
      <c r="B89" s="107" t="s">
        <v>4532</v>
      </c>
      <c r="C89" s="71" t="s">
        <v>2515</v>
      </c>
      <c r="D89" s="71" t="s">
        <v>4727</v>
      </c>
      <c r="E89" s="108">
        <v>319296.53999999998</v>
      </c>
      <c r="F89" s="109">
        <v>39987</v>
      </c>
      <c r="G89" s="109">
        <v>40087</v>
      </c>
      <c r="H89" s="109">
        <v>39988</v>
      </c>
      <c r="I89" s="109">
        <v>39988</v>
      </c>
      <c r="J89" s="71"/>
      <c r="K89" s="110"/>
    </row>
    <row r="90" spans="1:11">
      <c r="A90" s="71" t="s">
        <v>4728</v>
      </c>
      <c r="B90" s="107" t="s">
        <v>2543</v>
      </c>
      <c r="C90" s="71" t="s">
        <v>2517</v>
      </c>
      <c r="D90" s="71" t="s">
        <v>4729</v>
      </c>
      <c r="E90" s="108">
        <v>319296.53999999998</v>
      </c>
      <c r="F90" s="109">
        <v>39855</v>
      </c>
      <c r="G90" s="109">
        <v>40043</v>
      </c>
      <c r="H90" s="109">
        <v>39881</v>
      </c>
      <c r="I90" s="109">
        <v>39883</v>
      </c>
      <c r="J90" s="71"/>
      <c r="K90" s="110"/>
    </row>
    <row r="91" spans="1:11" ht="22.5">
      <c r="A91" s="71" t="s">
        <v>4730</v>
      </c>
      <c r="B91" s="107" t="s">
        <v>4731</v>
      </c>
      <c r="C91" s="71" t="s">
        <v>4732</v>
      </c>
      <c r="D91" s="71" t="s">
        <v>4733</v>
      </c>
      <c r="E91" s="108">
        <v>457000</v>
      </c>
      <c r="F91" s="109">
        <v>39765</v>
      </c>
      <c r="G91" s="109"/>
      <c r="H91" s="109">
        <v>39773</v>
      </c>
      <c r="I91" s="109">
        <v>39793</v>
      </c>
      <c r="J91" s="71"/>
      <c r="K91" s="110"/>
    </row>
    <row r="92" spans="1:11" ht="22.5">
      <c r="A92" s="71" t="s">
        <v>4734</v>
      </c>
      <c r="B92" s="107" t="s">
        <v>4731</v>
      </c>
      <c r="C92" s="71" t="s">
        <v>4735</v>
      </c>
      <c r="D92" s="71" t="s">
        <v>4736</v>
      </c>
      <c r="E92" s="108">
        <v>141256.79999999999</v>
      </c>
      <c r="F92" s="109">
        <v>39764</v>
      </c>
      <c r="G92" s="109">
        <v>39829</v>
      </c>
      <c r="H92" s="109">
        <v>39765</v>
      </c>
      <c r="I92" s="109">
        <v>39793</v>
      </c>
      <c r="J92" s="71"/>
      <c r="K92" s="110"/>
    </row>
    <row r="93" spans="1:11" ht="22.5">
      <c r="A93" s="71" t="s">
        <v>4737</v>
      </c>
      <c r="B93" s="107" t="s">
        <v>2509</v>
      </c>
      <c r="C93" s="71" t="s">
        <v>1069</v>
      </c>
      <c r="D93" s="71" t="s">
        <v>4738</v>
      </c>
      <c r="E93" s="108">
        <v>601781</v>
      </c>
      <c r="F93" s="109">
        <v>39822</v>
      </c>
      <c r="G93" s="109">
        <v>40276</v>
      </c>
      <c r="H93" s="109">
        <v>39856</v>
      </c>
      <c r="I93" s="109">
        <v>39855</v>
      </c>
      <c r="J93" s="71" t="s">
        <v>4739</v>
      </c>
      <c r="K93" s="110"/>
    </row>
    <row r="94" spans="1:11">
      <c r="A94" s="71" t="s">
        <v>1073</v>
      </c>
      <c r="B94" s="107" t="s">
        <v>2520</v>
      </c>
      <c r="C94" s="71" t="s">
        <v>1074</v>
      </c>
      <c r="D94" s="71" t="s">
        <v>1075</v>
      </c>
      <c r="E94" s="108">
        <v>101599.41</v>
      </c>
      <c r="F94" s="109">
        <v>39854</v>
      </c>
      <c r="G94" s="109">
        <v>40254</v>
      </c>
      <c r="H94" s="109">
        <v>39878</v>
      </c>
      <c r="I94" s="109">
        <v>39960</v>
      </c>
      <c r="J94" s="71"/>
      <c r="K94" s="110"/>
    </row>
    <row r="95" spans="1:11">
      <c r="A95" s="71" t="s">
        <v>1076</v>
      </c>
      <c r="B95" s="107" t="s">
        <v>2520</v>
      </c>
      <c r="C95" s="71" t="s">
        <v>1077</v>
      </c>
      <c r="D95" s="71" t="s">
        <v>1078</v>
      </c>
      <c r="E95" s="108">
        <v>713000</v>
      </c>
      <c r="F95" s="109">
        <v>39863</v>
      </c>
      <c r="G95" s="109">
        <v>40101</v>
      </c>
      <c r="H95" s="109">
        <v>39854</v>
      </c>
      <c r="I95" s="109">
        <v>40101</v>
      </c>
      <c r="J95" s="71"/>
      <c r="K95" s="110"/>
    </row>
    <row r="96" spans="1:11">
      <c r="A96" s="71" t="s">
        <v>1079</v>
      </c>
      <c r="B96" s="107" t="s">
        <v>2520</v>
      </c>
      <c r="C96" s="71" t="s">
        <v>1080</v>
      </c>
      <c r="D96" s="71" t="s">
        <v>1081</v>
      </c>
      <c r="E96" s="108">
        <v>1404698.56</v>
      </c>
      <c r="F96" s="109">
        <v>39864</v>
      </c>
      <c r="G96" s="109">
        <v>40231</v>
      </c>
      <c r="H96" s="109">
        <v>39878</v>
      </c>
      <c r="I96" s="109">
        <v>39881</v>
      </c>
      <c r="J96" s="71"/>
      <c r="K96" s="110"/>
    </row>
    <row r="97" spans="1:11" ht="22.5">
      <c r="A97" s="71" t="s">
        <v>4740</v>
      </c>
      <c r="B97" s="107" t="s">
        <v>2516</v>
      </c>
      <c r="C97" s="71" t="s">
        <v>4741</v>
      </c>
      <c r="D97" s="71" t="s">
        <v>4742</v>
      </c>
      <c r="E97" s="108">
        <v>8096199.7599999998</v>
      </c>
      <c r="F97" s="109">
        <v>39828</v>
      </c>
      <c r="G97" s="109"/>
      <c r="H97" s="109" t="s">
        <v>4743</v>
      </c>
      <c r="I97" s="109">
        <v>39862</v>
      </c>
      <c r="J97" s="71"/>
      <c r="K97" s="110" t="s">
        <v>2877</v>
      </c>
    </row>
    <row r="98" spans="1:11">
      <c r="A98" s="71" t="s">
        <v>1082</v>
      </c>
      <c r="B98" s="107" t="s">
        <v>1083</v>
      </c>
      <c r="C98" s="71" t="s">
        <v>2530</v>
      </c>
      <c r="D98" s="71" t="s">
        <v>1084</v>
      </c>
      <c r="E98" s="108">
        <v>1166526</v>
      </c>
      <c r="F98" s="109">
        <v>39975</v>
      </c>
      <c r="G98" s="109"/>
      <c r="H98" s="109">
        <v>39989</v>
      </c>
      <c r="I98" s="109">
        <v>39988</v>
      </c>
      <c r="J98" s="71"/>
      <c r="K98" s="110"/>
    </row>
    <row r="99" spans="1:11">
      <c r="A99" s="71" t="s">
        <v>4744</v>
      </c>
      <c r="B99" s="107" t="s">
        <v>2504</v>
      </c>
      <c r="C99" s="71" t="s">
        <v>4745</v>
      </c>
      <c r="D99" s="71" t="s">
        <v>4746</v>
      </c>
      <c r="E99" s="108">
        <v>844353.21</v>
      </c>
      <c r="F99" s="109">
        <v>39862</v>
      </c>
      <c r="G99" s="109">
        <v>40130</v>
      </c>
      <c r="H99" s="109">
        <v>39876</v>
      </c>
      <c r="I99" s="109">
        <v>39884</v>
      </c>
      <c r="J99" s="71"/>
      <c r="K99" s="110"/>
    </row>
    <row r="100" spans="1:11" ht="22.5">
      <c r="A100" s="71" t="s">
        <v>4747</v>
      </c>
      <c r="B100" s="107" t="s">
        <v>2516</v>
      </c>
      <c r="C100" s="71" t="s">
        <v>1085</v>
      </c>
      <c r="D100" s="71" t="s">
        <v>4748</v>
      </c>
      <c r="E100" s="108">
        <v>147653.66</v>
      </c>
      <c r="F100" s="109">
        <v>39469</v>
      </c>
      <c r="G100" s="109">
        <v>40157</v>
      </c>
      <c r="H100" s="109">
        <v>39483</v>
      </c>
      <c r="I100" s="109">
        <v>39862</v>
      </c>
      <c r="J100" s="71"/>
      <c r="K100" s="110"/>
    </row>
    <row r="101" spans="1:11">
      <c r="A101" s="71" t="s">
        <v>4749</v>
      </c>
      <c r="B101" s="107" t="s">
        <v>2507</v>
      </c>
      <c r="C101" s="71" t="s">
        <v>4750</v>
      </c>
      <c r="D101" s="71" t="s">
        <v>4751</v>
      </c>
      <c r="E101" s="108">
        <v>329777</v>
      </c>
      <c r="F101" s="109">
        <v>39875</v>
      </c>
      <c r="G101" s="109"/>
      <c r="H101" s="109">
        <v>39897</v>
      </c>
      <c r="I101" s="109"/>
      <c r="J101" s="71"/>
      <c r="K101" s="110"/>
    </row>
    <row r="102" spans="1:11">
      <c r="A102" s="71" t="s">
        <v>4752</v>
      </c>
      <c r="B102" s="107" t="s">
        <v>4753</v>
      </c>
      <c r="C102" s="71" t="s">
        <v>4754</v>
      </c>
      <c r="D102" s="71" t="s">
        <v>4755</v>
      </c>
      <c r="E102" s="108">
        <v>1073550</v>
      </c>
      <c r="F102" s="109">
        <v>39857</v>
      </c>
      <c r="G102" s="109"/>
      <c r="H102" s="109">
        <v>39869</v>
      </c>
      <c r="I102" s="109">
        <v>39870</v>
      </c>
      <c r="J102" s="71"/>
      <c r="K102" s="110" t="s">
        <v>2877</v>
      </c>
    </row>
    <row r="103" spans="1:11">
      <c r="A103" s="71" t="s">
        <v>4756</v>
      </c>
      <c r="B103" s="107" t="s">
        <v>4753</v>
      </c>
      <c r="C103" s="71" t="s">
        <v>4754</v>
      </c>
      <c r="D103" s="71" t="s">
        <v>4757</v>
      </c>
      <c r="E103" s="108">
        <v>189450</v>
      </c>
      <c r="F103" s="109" t="s">
        <v>4758</v>
      </c>
      <c r="G103" s="109"/>
      <c r="H103" s="109">
        <v>39869</v>
      </c>
      <c r="I103" s="109">
        <v>39850</v>
      </c>
      <c r="J103" s="71"/>
      <c r="K103" s="110"/>
    </row>
    <row r="104" spans="1:11" ht="22.5">
      <c r="A104" s="71" t="s">
        <v>1086</v>
      </c>
      <c r="B104" s="107" t="s">
        <v>2520</v>
      </c>
      <c r="C104" s="71" t="s">
        <v>2514</v>
      </c>
      <c r="D104" s="71" t="s">
        <v>1087</v>
      </c>
      <c r="E104" s="108">
        <v>353436.31</v>
      </c>
      <c r="F104" s="109">
        <v>39870</v>
      </c>
      <c r="G104" s="109">
        <v>40260</v>
      </c>
      <c r="H104" s="109">
        <v>39884</v>
      </c>
      <c r="I104" s="109">
        <v>39884</v>
      </c>
      <c r="J104" s="71"/>
      <c r="K104" s="110"/>
    </row>
    <row r="105" spans="1:11">
      <c r="A105" s="71" t="s">
        <v>1088</v>
      </c>
      <c r="B105" s="107" t="s">
        <v>2520</v>
      </c>
      <c r="C105" s="71" t="s">
        <v>3169</v>
      </c>
      <c r="D105" s="71" t="s">
        <v>3170</v>
      </c>
      <c r="E105" s="108">
        <v>804285.4</v>
      </c>
      <c r="F105" s="109">
        <v>39855</v>
      </c>
      <c r="G105" s="109">
        <v>40177</v>
      </c>
      <c r="H105" s="109">
        <v>39878</v>
      </c>
      <c r="I105" s="109" t="s">
        <v>3171</v>
      </c>
      <c r="J105" s="71"/>
      <c r="K105" s="110"/>
    </row>
    <row r="106" spans="1:11" ht="22.5">
      <c r="A106" s="71" t="s">
        <v>3172</v>
      </c>
      <c r="B106" s="107" t="s">
        <v>2520</v>
      </c>
      <c r="C106" s="71" t="s">
        <v>1090</v>
      </c>
      <c r="D106" s="71" t="s">
        <v>1091</v>
      </c>
      <c r="E106" s="108"/>
      <c r="F106" s="109">
        <v>39855</v>
      </c>
      <c r="G106" s="109">
        <v>40177</v>
      </c>
      <c r="H106" s="109">
        <v>39863</v>
      </c>
      <c r="I106" s="109"/>
      <c r="J106" s="71"/>
      <c r="K106" s="110"/>
    </row>
    <row r="107" spans="1:11" ht="22.5">
      <c r="A107" s="71" t="s">
        <v>1092</v>
      </c>
      <c r="B107" s="107" t="s">
        <v>2520</v>
      </c>
      <c r="C107" s="71" t="s">
        <v>1093</v>
      </c>
      <c r="D107" s="71" t="s">
        <v>1094</v>
      </c>
      <c r="E107" s="108"/>
      <c r="F107" s="109">
        <v>39855</v>
      </c>
      <c r="G107" s="109">
        <v>40177</v>
      </c>
      <c r="H107" s="109">
        <v>39863</v>
      </c>
      <c r="I107" s="109"/>
      <c r="J107" s="71"/>
      <c r="K107" s="110"/>
    </row>
    <row r="108" spans="1:11">
      <c r="A108" s="71" t="s">
        <v>1095</v>
      </c>
      <c r="B108" s="107" t="s">
        <v>1096</v>
      </c>
      <c r="C108" s="71" t="s">
        <v>1057</v>
      </c>
      <c r="D108" s="71" t="s">
        <v>1097</v>
      </c>
      <c r="E108" s="108">
        <v>1395576</v>
      </c>
      <c r="F108" s="109">
        <v>39951</v>
      </c>
      <c r="G108" s="109"/>
      <c r="H108" s="109">
        <v>39955</v>
      </c>
      <c r="I108" s="109">
        <v>39976</v>
      </c>
      <c r="J108" s="71"/>
      <c r="K108" s="110"/>
    </row>
    <row r="109" spans="1:11">
      <c r="A109" s="71" t="s">
        <v>4759</v>
      </c>
      <c r="B109" s="107" t="s">
        <v>2507</v>
      </c>
      <c r="C109" s="71" t="s">
        <v>4760</v>
      </c>
      <c r="D109" s="71" t="s">
        <v>4761</v>
      </c>
      <c r="E109" s="108"/>
      <c r="F109" s="109">
        <v>40052</v>
      </c>
      <c r="G109" s="109"/>
      <c r="H109" s="109">
        <v>40054</v>
      </c>
      <c r="I109" s="109"/>
      <c r="J109" s="71"/>
      <c r="K109" s="110"/>
    </row>
    <row r="110" spans="1:11">
      <c r="A110" s="71" t="s">
        <v>4762</v>
      </c>
      <c r="B110" s="107" t="s">
        <v>1063</v>
      </c>
      <c r="C110" s="71" t="s">
        <v>1098</v>
      </c>
      <c r="D110" s="71" t="s">
        <v>4763</v>
      </c>
      <c r="E110" s="108">
        <v>655502</v>
      </c>
      <c r="F110" s="109">
        <v>39898</v>
      </c>
      <c r="G110" s="109">
        <v>40198</v>
      </c>
      <c r="H110" s="109">
        <v>39912</v>
      </c>
      <c r="I110" s="109">
        <v>39913</v>
      </c>
      <c r="J110" s="71"/>
      <c r="K110" s="110"/>
    </row>
    <row r="111" spans="1:11">
      <c r="A111" s="71" t="s">
        <v>4764</v>
      </c>
      <c r="B111" s="107" t="s">
        <v>1060</v>
      </c>
      <c r="C111" s="71" t="s">
        <v>1099</v>
      </c>
      <c r="D111" s="71" t="s">
        <v>4765</v>
      </c>
      <c r="E111" s="108">
        <v>243434.6</v>
      </c>
      <c r="F111" s="109">
        <v>39856</v>
      </c>
      <c r="G111" s="109">
        <v>39990</v>
      </c>
      <c r="H111" s="109">
        <v>39867</v>
      </c>
      <c r="I111" s="109">
        <v>39874</v>
      </c>
      <c r="J111" s="71"/>
      <c r="K111" s="110"/>
    </row>
    <row r="112" spans="1:11">
      <c r="A112" s="71" t="s">
        <v>1100</v>
      </c>
      <c r="B112" s="107" t="s">
        <v>2520</v>
      </c>
      <c r="C112" s="71" t="s">
        <v>1101</v>
      </c>
      <c r="D112" s="71" t="s">
        <v>1102</v>
      </c>
      <c r="E112" s="108">
        <v>250000</v>
      </c>
      <c r="F112" s="109">
        <v>39976</v>
      </c>
      <c r="G112" s="109"/>
      <c r="H112" s="109">
        <v>39986</v>
      </c>
      <c r="I112" s="109"/>
      <c r="J112" s="71"/>
      <c r="K112" s="110"/>
    </row>
    <row r="113" spans="1:11" ht="22.5">
      <c r="A113" s="71" t="s">
        <v>1103</v>
      </c>
      <c r="B113" s="107" t="s">
        <v>2520</v>
      </c>
      <c r="C113" s="71" t="s">
        <v>1104</v>
      </c>
      <c r="D113" s="71" t="s">
        <v>1105</v>
      </c>
      <c r="E113" s="108"/>
      <c r="F113" s="109">
        <v>39856</v>
      </c>
      <c r="G113" s="109"/>
      <c r="H113" s="109">
        <v>39881</v>
      </c>
      <c r="I113" s="109"/>
      <c r="J113" s="71" t="s">
        <v>2518</v>
      </c>
      <c r="K113" s="110"/>
    </row>
    <row r="114" spans="1:11">
      <c r="A114" s="71" t="s">
        <v>1106</v>
      </c>
      <c r="B114" s="107" t="s">
        <v>2524</v>
      </c>
      <c r="C114" s="71" t="s">
        <v>1107</v>
      </c>
      <c r="D114" s="71" t="s">
        <v>1108</v>
      </c>
      <c r="E114" s="108">
        <v>250410.96</v>
      </c>
      <c r="F114" s="109">
        <v>39842</v>
      </c>
      <c r="G114" s="109">
        <v>40501</v>
      </c>
      <c r="H114" s="109">
        <v>39867</v>
      </c>
      <c r="I114" s="109">
        <v>39871</v>
      </c>
      <c r="J114" s="71"/>
      <c r="K114" s="110"/>
    </row>
    <row r="115" spans="1:11">
      <c r="A115" s="71" t="s">
        <v>4766</v>
      </c>
      <c r="B115" s="107" t="s">
        <v>2538</v>
      </c>
      <c r="C115" s="71" t="s">
        <v>2515</v>
      </c>
      <c r="D115" s="71" t="s">
        <v>4767</v>
      </c>
      <c r="E115" s="108">
        <v>1528089</v>
      </c>
      <c r="F115" s="109">
        <v>39952</v>
      </c>
      <c r="G115" s="109">
        <v>40168</v>
      </c>
      <c r="H115" s="109">
        <v>39953</v>
      </c>
      <c r="I115" s="109">
        <v>39954</v>
      </c>
      <c r="J115" s="71"/>
      <c r="K115" s="110"/>
    </row>
    <row r="116" spans="1:11">
      <c r="A116" s="71" t="s">
        <v>4768</v>
      </c>
      <c r="B116" s="107" t="s">
        <v>4769</v>
      </c>
      <c r="C116" s="71"/>
      <c r="D116" s="71" t="s">
        <v>4770</v>
      </c>
      <c r="E116" s="108">
        <v>400000</v>
      </c>
      <c r="F116" s="109">
        <v>39934</v>
      </c>
      <c r="G116" s="109"/>
      <c r="H116" s="109">
        <v>39954</v>
      </c>
      <c r="I116" s="109"/>
      <c r="J116" s="71"/>
      <c r="K116" s="110"/>
    </row>
    <row r="117" spans="1:11">
      <c r="A117" s="71" t="s">
        <v>4771</v>
      </c>
      <c r="B117" s="107" t="s">
        <v>1068</v>
      </c>
      <c r="C117" s="71" t="s">
        <v>1109</v>
      </c>
      <c r="D117" s="71" t="s">
        <v>4772</v>
      </c>
      <c r="E117" s="108">
        <v>111543.6</v>
      </c>
      <c r="F117" s="109">
        <v>40029</v>
      </c>
      <c r="G117" s="109">
        <v>40156</v>
      </c>
      <c r="H117" s="109">
        <v>40036</v>
      </c>
      <c r="I117" s="109">
        <v>40037</v>
      </c>
      <c r="J117" s="71"/>
      <c r="K117" s="110"/>
    </row>
    <row r="118" spans="1:11">
      <c r="A118" s="71" t="s">
        <v>4773</v>
      </c>
      <c r="B118" s="107" t="s">
        <v>1110</v>
      </c>
      <c r="C118" s="71" t="s">
        <v>4606</v>
      </c>
      <c r="D118" s="71" t="s">
        <v>4774</v>
      </c>
      <c r="E118" s="108">
        <v>539292.5</v>
      </c>
      <c r="F118" s="109">
        <v>39842</v>
      </c>
      <c r="G118" s="109">
        <v>40231</v>
      </c>
      <c r="H118" s="109">
        <v>39848</v>
      </c>
      <c r="I118" s="109">
        <v>39849</v>
      </c>
      <c r="J118" s="71"/>
      <c r="K118" s="110"/>
    </row>
    <row r="119" spans="1:11">
      <c r="A119" s="71" t="s">
        <v>4775</v>
      </c>
      <c r="B119" s="107" t="s">
        <v>1111</v>
      </c>
      <c r="C119" s="71" t="s">
        <v>1112</v>
      </c>
      <c r="D119" s="71" t="s">
        <v>4776</v>
      </c>
      <c r="E119" s="108">
        <v>286345.59999999998</v>
      </c>
      <c r="F119" s="109">
        <v>39864</v>
      </c>
      <c r="G119" s="109"/>
      <c r="H119" s="109">
        <v>39878</v>
      </c>
      <c r="I119" s="109">
        <v>39883</v>
      </c>
      <c r="J119" s="71"/>
      <c r="K119" s="110"/>
    </row>
    <row r="120" spans="1:11">
      <c r="A120" s="71" t="s">
        <v>1113</v>
      </c>
      <c r="B120" s="107" t="s">
        <v>1054</v>
      </c>
      <c r="C120" s="71" t="s">
        <v>1114</v>
      </c>
      <c r="D120" s="71" t="s">
        <v>1115</v>
      </c>
      <c r="E120" s="108"/>
      <c r="F120" s="109">
        <v>39863</v>
      </c>
      <c r="G120" s="109"/>
      <c r="H120" s="109">
        <v>39882</v>
      </c>
      <c r="I120" s="109"/>
      <c r="J120" s="71"/>
      <c r="K120" s="110"/>
    </row>
    <row r="121" spans="1:11">
      <c r="A121" s="71" t="s">
        <v>4777</v>
      </c>
      <c r="B121" s="107" t="s">
        <v>2543</v>
      </c>
      <c r="C121" s="71" t="s">
        <v>2515</v>
      </c>
      <c r="D121" s="71" t="s">
        <v>4778</v>
      </c>
      <c r="E121" s="108">
        <v>124947.55</v>
      </c>
      <c r="F121" s="109">
        <v>39862</v>
      </c>
      <c r="G121" s="109">
        <v>40074</v>
      </c>
      <c r="H121" s="109">
        <v>39881</v>
      </c>
      <c r="I121" s="109">
        <v>39883</v>
      </c>
      <c r="J121" s="71"/>
      <c r="K121" s="110"/>
    </row>
    <row r="122" spans="1:11">
      <c r="A122" s="71" t="s">
        <v>4779</v>
      </c>
      <c r="B122" s="107" t="s">
        <v>2543</v>
      </c>
      <c r="C122" s="71" t="s">
        <v>4780</v>
      </c>
      <c r="D122" s="71" t="s">
        <v>4781</v>
      </c>
      <c r="E122" s="108">
        <v>159438.29999999999</v>
      </c>
      <c r="F122" s="109">
        <v>39862</v>
      </c>
      <c r="G122" s="109">
        <v>40137</v>
      </c>
      <c r="H122" s="109">
        <v>39516</v>
      </c>
      <c r="I122" s="109">
        <v>39883</v>
      </c>
      <c r="J122" s="71"/>
      <c r="K122" s="110"/>
    </row>
    <row r="123" spans="1:11">
      <c r="A123" s="71" t="s">
        <v>1116</v>
      </c>
      <c r="B123" s="107" t="s">
        <v>2520</v>
      </c>
      <c r="C123" s="71" t="s">
        <v>1117</v>
      </c>
      <c r="D123" s="71" t="s">
        <v>1118</v>
      </c>
      <c r="E123" s="108"/>
      <c r="F123" s="109">
        <v>39869</v>
      </c>
      <c r="G123" s="109"/>
      <c r="H123" s="109">
        <v>39882</v>
      </c>
      <c r="I123" s="109"/>
      <c r="J123" s="71"/>
      <c r="K123" s="110"/>
    </row>
    <row r="124" spans="1:11">
      <c r="A124" s="71" t="s">
        <v>1119</v>
      </c>
      <c r="B124" s="107" t="s">
        <v>2520</v>
      </c>
      <c r="C124" s="71" t="s">
        <v>1120</v>
      </c>
      <c r="D124" s="71" t="s">
        <v>1121</v>
      </c>
      <c r="E124" s="108">
        <v>473797</v>
      </c>
      <c r="F124" s="109">
        <v>39917</v>
      </c>
      <c r="G124" s="109">
        <v>40231</v>
      </c>
      <c r="H124" s="109">
        <v>39940</v>
      </c>
      <c r="I124" s="109">
        <v>39940</v>
      </c>
      <c r="J124" s="71"/>
      <c r="K124" s="110"/>
    </row>
    <row r="125" spans="1:11">
      <c r="A125" s="71" t="s">
        <v>4782</v>
      </c>
      <c r="B125" s="107" t="s">
        <v>2507</v>
      </c>
      <c r="C125" s="71" t="s">
        <v>4783</v>
      </c>
      <c r="D125" s="71" t="s">
        <v>4784</v>
      </c>
      <c r="E125" s="108">
        <v>210000</v>
      </c>
      <c r="F125" s="109">
        <v>40026</v>
      </c>
      <c r="G125" s="109"/>
      <c r="H125" s="109">
        <v>40057</v>
      </c>
      <c r="I125" s="109"/>
      <c r="J125" s="71"/>
      <c r="K125" s="110"/>
    </row>
    <row r="126" spans="1:11">
      <c r="A126" s="71" t="s">
        <v>4785</v>
      </c>
      <c r="B126" s="107" t="s">
        <v>1122</v>
      </c>
      <c r="C126" s="71" t="s">
        <v>4786</v>
      </c>
      <c r="D126" s="71" t="s">
        <v>4787</v>
      </c>
      <c r="E126" s="108">
        <v>387175</v>
      </c>
      <c r="F126" s="109">
        <v>39967</v>
      </c>
      <c r="G126" s="109"/>
      <c r="H126" s="109">
        <v>39981</v>
      </c>
      <c r="I126" s="109">
        <v>40051</v>
      </c>
      <c r="J126" s="71"/>
      <c r="K126" s="110" t="s">
        <v>2877</v>
      </c>
    </row>
    <row r="127" spans="1:11">
      <c r="A127" s="71" t="s">
        <v>4788</v>
      </c>
      <c r="B127" s="107" t="s">
        <v>2542</v>
      </c>
      <c r="C127" s="71" t="s">
        <v>4786</v>
      </c>
      <c r="D127" s="71" t="s">
        <v>4789</v>
      </c>
      <c r="E127" s="108">
        <v>271355</v>
      </c>
      <c r="F127" s="109" t="s">
        <v>1123</v>
      </c>
      <c r="G127" s="109"/>
      <c r="H127" s="109" t="s">
        <v>1123</v>
      </c>
      <c r="I127" s="109"/>
      <c r="J127" s="71"/>
      <c r="K127" s="110"/>
    </row>
    <row r="128" spans="1:11" ht="22.5">
      <c r="A128" s="71" t="s">
        <v>4790</v>
      </c>
      <c r="B128" s="107" t="s">
        <v>1060</v>
      </c>
      <c r="C128" s="71" t="s">
        <v>4791</v>
      </c>
      <c r="D128" s="71" t="s">
        <v>4792</v>
      </c>
      <c r="E128" s="108"/>
      <c r="F128" s="109">
        <v>39870</v>
      </c>
      <c r="G128" s="109">
        <v>40037</v>
      </c>
      <c r="H128" s="109">
        <v>39884</v>
      </c>
      <c r="I128" s="109">
        <v>39917</v>
      </c>
      <c r="J128" s="71"/>
      <c r="K128" s="110"/>
    </row>
    <row r="129" spans="1:11">
      <c r="A129" s="71" t="s">
        <v>4793</v>
      </c>
      <c r="B129" s="107" t="s">
        <v>2504</v>
      </c>
      <c r="C129" s="71" t="s">
        <v>4794</v>
      </c>
      <c r="D129" s="71" t="s">
        <v>4795</v>
      </c>
      <c r="E129" s="108"/>
      <c r="F129" s="109">
        <v>39862</v>
      </c>
      <c r="G129" s="109">
        <v>39910</v>
      </c>
      <c r="H129" s="109">
        <v>39876</v>
      </c>
      <c r="I129" s="109">
        <v>39884</v>
      </c>
      <c r="J129" s="71"/>
      <c r="K129" s="110"/>
    </row>
    <row r="130" spans="1:11">
      <c r="A130" s="71" t="s">
        <v>4796</v>
      </c>
      <c r="B130" s="107" t="s">
        <v>1124</v>
      </c>
      <c r="C130" s="71" t="s">
        <v>1058</v>
      </c>
      <c r="D130" s="71" t="s">
        <v>4797</v>
      </c>
      <c r="E130" s="108">
        <v>1431539</v>
      </c>
      <c r="F130" s="109">
        <v>39864</v>
      </c>
      <c r="G130" s="109"/>
      <c r="H130" s="109">
        <v>39889</v>
      </c>
      <c r="I130" s="109">
        <v>40081</v>
      </c>
      <c r="J130" s="71"/>
      <c r="K130" s="110"/>
    </row>
    <row r="131" spans="1:11">
      <c r="A131" s="71" t="s">
        <v>4798</v>
      </c>
      <c r="B131" s="107" t="s">
        <v>2507</v>
      </c>
      <c r="C131" s="71" t="s">
        <v>4799</v>
      </c>
      <c r="D131" s="71" t="s">
        <v>4800</v>
      </c>
      <c r="E131" s="108"/>
      <c r="F131" s="109" t="s">
        <v>4801</v>
      </c>
      <c r="G131" s="109"/>
      <c r="H131" s="109" t="s">
        <v>1123</v>
      </c>
      <c r="I131" s="109"/>
      <c r="J131" s="71"/>
      <c r="K131" s="110"/>
    </row>
    <row r="132" spans="1:11">
      <c r="A132" s="71" t="s">
        <v>4802</v>
      </c>
      <c r="B132" s="107" t="s">
        <v>2525</v>
      </c>
      <c r="C132" s="71" t="s">
        <v>4803</v>
      </c>
      <c r="D132" s="71" t="s">
        <v>4804</v>
      </c>
      <c r="E132" s="108">
        <v>223147.5</v>
      </c>
      <c r="F132" s="109">
        <v>39987</v>
      </c>
      <c r="G132" s="109"/>
      <c r="H132" s="109">
        <v>40053</v>
      </c>
      <c r="I132" s="109">
        <v>40074</v>
      </c>
      <c r="J132" s="71"/>
      <c r="K132" s="110"/>
    </row>
    <row r="133" spans="1:11">
      <c r="A133" s="71" t="s">
        <v>4805</v>
      </c>
      <c r="B133" s="107" t="s">
        <v>4806</v>
      </c>
      <c r="C133" s="71" t="s">
        <v>4807</v>
      </c>
      <c r="D133" s="71" t="s">
        <v>4808</v>
      </c>
      <c r="E133" s="108">
        <v>238508</v>
      </c>
      <c r="F133" s="109">
        <v>39762</v>
      </c>
      <c r="G133" s="109"/>
      <c r="H133" s="109">
        <v>39792</v>
      </c>
      <c r="I133" s="109">
        <v>39836</v>
      </c>
      <c r="J133" s="71"/>
      <c r="K133" s="110"/>
    </row>
    <row r="134" spans="1:11">
      <c r="A134" s="71" t="s">
        <v>4809</v>
      </c>
      <c r="B134" s="107" t="s">
        <v>2516</v>
      </c>
      <c r="C134" s="71" t="s">
        <v>1125</v>
      </c>
      <c r="D134" s="71" t="s">
        <v>4810</v>
      </c>
      <c r="E134" s="108">
        <v>3600000</v>
      </c>
      <c r="F134" s="109">
        <v>39870</v>
      </c>
      <c r="G134" s="109"/>
      <c r="H134" s="109">
        <v>39884</v>
      </c>
      <c r="I134" s="109"/>
      <c r="J134" s="71"/>
      <c r="K134" s="110"/>
    </row>
    <row r="135" spans="1:11">
      <c r="A135" s="71" t="s">
        <v>4811</v>
      </c>
      <c r="B135" s="107" t="s">
        <v>4812</v>
      </c>
      <c r="C135" s="71" t="s">
        <v>1126</v>
      </c>
      <c r="D135" s="71" t="s">
        <v>4813</v>
      </c>
      <c r="E135" s="108">
        <v>644085</v>
      </c>
      <c r="F135" s="109">
        <v>39904</v>
      </c>
      <c r="G135" s="109">
        <v>40211</v>
      </c>
      <c r="H135" s="109">
        <v>39919</v>
      </c>
      <c r="I135" s="109">
        <v>39925</v>
      </c>
      <c r="J135" s="71"/>
      <c r="K135" s="110"/>
    </row>
    <row r="136" spans="1:11">
      <c r="A136" s="71" t="s">
        <v>4814</v>
      </c>
      <c r="B136" s="107" t="s">
        <v>4815</v>
      </c>
      <c r="C136" s="71" t="s">
        <v>4816</v>
      </c>
      <c r="D136" s="71" t="s">
        <v>4817</v>
      </c>
      <c r="E136" s="108">
        <v>3783600</v>
      </c>
      <c r="F136" s="109">
        <v>40043</v>
      </c>
      <c r="G136" s="109"/>
      <c r="H136" s="109">
        <v>40087</v>
      </c>
      <c r="I136" s="109">
        <v>40091</v>
      </c>
      <c r="J136" s="71"/>
      <c r="K136" s="110"/>
    </row>
    <row r="137" spans="1:11" ht="22.5">
      <c r="A137" s="71" t="s">
        <v>4818</v>
      </c>
      <c r="B137" s="107" t="s">
        <v>1068</v>
      </c>
      <c r="C137" s="71" t="s">
        <v>1059</v>
      </c>
      <c r="D137" s="71" t="s">
        <v>4819</v>
      </c>
      <c r="E137" s="108">
        <v>178000</v>
      </c>
      <c r="F137" s="109">
        <v>39876</v>
      </c>
      <c r="G137" s="109">
        <v>40129</v>
      </c>
      <c r="H137" s="109">
        <v>39882</v>
      </c>
      <c r="I137" s="109">
        <v>39966</v>
      </c>
      <c r="J137" s="71"/>
      <c r="K137" s="110"/>
    </row>
    <row r="138" spans="1:11">
      <c r="A138" s="71" t="s">
        <v>1127</v>
      </c>
      <c r="B138" s="107" t="s">
        <v>1054</v>
      </c>
      <c r="C138" s="71" t="s">
        <v>2530</v>
      </c>
      <c r="D138" s="71" t="s">
        <v>1128</v>
      </c>
      <c r="E138" s="108">
        <v>1290908.76</v>
      </c>
      <c r="F138" s="109">
        <v>39938</v>
      </c>
      <c r="G138" s="109">
        <v>40210</v>
      </c>
      <c r="H138" s="109">
        <v>39945</v>
      </c>
      <c r="I138" s="109">
        <v>39946</v>
      </c>
      <c r="J138" s="71"/>
      <c r="K138" s="110"/>
    </row>
    <row r="139" spans="1:11">
      <c r="A139" s="71" t="s">
        <v>4820</v>
      </c>
      <c r="B139" s="107" t="s">
        <v>4821</v>
      </c>
      <c r="C139" s="71" t="s">
        <v>4822</v>
      </c>
      <c r="D139" s="71" t="s">
        <v>4823</v>
      </c>
      <c r="E139" s="108">
        <v>94879</v>
      </c>
      <c r="F139" s="109">
        <v>39932</v>
      </c>
      <c r="G139" s="109"/>
      <c r="H139" s="109">
        <v>39933</v>
      </c>
      <c r="I139" s="109">
        <v>39933</v>
      </c>
      <c r="J139" s="71"/>
      <c r="K139" s="110"/>
    </row>
    <row r="140" spans="1:11" ht="22.5">
      <c r="A140" s="71" t="s">
        <v>1129</v>
      </c>
      <c r="B140" s="107" t="s">
        <v>2524</v>
      </c>
      <c r="C140" s="71" t="s">
        <v>1071</v>
      </c>
      <c r="D140" s="71" t="s">
        <v>1130</v>
      </c>
      <c r="E140" s="108">
        <v>255197.71</v>
      </c>
      <c r="F140" s="109">
        <v>39877</v>
      </c>
      <c r="G140" s="109">
        <v>40256</v>
      </c>
      <c r="H140" s="109">
        <v>39945</v>
      </c>
      <c r="I140" s="109">
        <v>39952</v>
      </c>
      <c r="J140" s="71"/>
      <c r="K140" s="110"/>
    </row>
    <row r="141" spans="1:11">
      <c r="A141" s="71" t="s">
        <v>4824</v>
      </c>
      <c r="B141" s="107" t="s">
        <v>2503</v>
      </c>
      <c r="C141" s="71" t="s">
        <v>4825</v>
      </c>
      <c r="D141" s="71" t="s">
        <v>4826</v>
      </c>
      <c r="E141" s="108">
        <v>155034.45000000001</v>
      </c>
      <c r="F141" s="109">
        <v>39926</v>
      </c>
      <c r="G141" s="109"/>
      <c r="H141" s="109">
        <v>39930</v>
      </c>
      <c r="I141" s="109">
        <v>39930</v>
      </c>
      <c r="J141" s="71"/>
      <c r="K141" s="110"/>
    </row>
    <row r="142" spans="1:11">
      <c r="A142" s="71" t="s">
        <v>4827</v>
      </c>
      <c r="B142" s="107" t="s">
        <v>2538</v>
      </c>
      <c r="C142" s="71"/>
      <c r="D142" s="71" t="s">
        <v>4828</v>
      </c>
      <c r="E142" s="108">
        <v>2053289</v>
      </c>
      <c r="F142" s="109">
        <v>39917</v>
      </c>
      <c r="G142" s="109"/>
      <c r="H142" s="109">
        <v>39948</v>
      </c>
      <c r="I142" s="109"/>
      <c r="J142" s="71"/>
      <c r="K142" s="110"/>
    </row>
    <row r="143" spans="1:11" ht="22.5">
      <c r="A143" s="71" t="s">
        <v>4829</v>
      </c>
      <c r="B143" s="107" t="s">
        <v>2538</v>
      </c>
      <c r="C143" s="71" t="s">
        <v>2514</v>
      </c>
      <c r="D143" s="71" t="s">
        <v>4830</v>
      </c>
      <c r="E143" s="108">
        <v>1413199.47</v>
      </c>
      <c r="F143" s="109">
        <v>39924</v>
      </c>
      <c r="G143" s="109">
        <v>40074</v>
      </c>
      <c r="H143" s="109">
        <v>39927</v>
      </c>
      <c r="I143" s="109">
        <v>39939</v>
      </c>
      <c r="J143" s="71"/>
      <c r="K143" s="110"/>
    </row>
    <row r="144" spans="1:11" ht="22.5">
      <c r="A144" s="71" t="s">
        <v>4831</v>
      </c>
      <c r="B144" s="107" t="s">
        <v>2538</v>
      </c>
      <c r="C144" s="71" t="s">
        <v>2514</v>
      </c>
      <c r="D144" s="71" t="s">
        <v>4832</v>
      </c>
      <c r="E144" s="108">
        <v>1599420.68</v>
      </c>
      <c r="F144" s="109">
        <v>39979</v>
      </c>
      <c r="G144" s="109">
        <v>40269</v>
      </c>
      <c r="H144" s="109">
        <v>39981</v>
      </c>
      <c r="I144" s="109">
        <v>39983</v>
      </c>
      <c r="J144" s="71"/>
      <c r="K144" s="110"/>
    </row>
    <row r="145" spans="1:11" ht="33.75">
      <c r="A145" s="71" t="s">
        <v>4833</v>
      </c>
      <c r="B145" s="107" t="s">
        <v>1131</v>
      </c>
      <c r="C145" s="71" t="s">
        <v>4834</v>
      </c>
      <c r="D145" s="71" t="s">
        <v>4835</v>
      </c>
      <c r="E145" s="108">
        <v>85568</v>
      </c>
      <c r="F145" s="109">
        <v>39898</v>
      </c>
      <c r="G145" s="109"/>
      <c r="H145" s="109">
        <v>39911</v>
      </c>
      <c r="I145" s="109">
        <v>39912</v>
      </c>
      <c r="J145" s="71" t="s">
        <v>4836</v>
      </c>
      <c r="K145" s="110"/>
    </row>
    <row r="146" spans="1:11">
      <c r="A146" s="71" t="s">
        <v>4837</v>
      </c>
      <c r="B146" s="107" t="s">
        <v>2516</v>
      </c>
      <c r="C146" s="71" t="s">
        <v>4838</v>
      </c>
      <c r="D146" s="71" t="s">
        <v>4839</v>
      </c>
      <c r="E146" s="108">
        <v>264000</v>
      </c>
      <c r="F146" s="109">
        <v>39875</v>
      </c>
      <c r="G146" s="109">
        <v>40094</v>
      </c>
      <c r="H146" s="109">
        <v>39896</v>
      </c>
      <c r="I146" s="109">
        <v>39896</v>
      </c>
      <c r="J146" s="71"/>
      <c r="K146" s="110"/>
    </row>
    <row r="147" spans="1:11">
      <c r="A147" s="71" t="s">
        <v>4840</v>
      </c>
      <c r="B147" s="107" t="s">
        <v>2504</v>
      </c>
      <c r="C147" s="71" t="s">
        <v>4750</v>
      </c>
      <c r="D147" s="71" t="s">
        <v>4841</v>
      </c>
      <c r="E147" s="108">
        <v>512598.96</v>
      </c>
      <c r="F147" s="109">
        <v>39890</v>
      </c>
      <c r="G147" s="109">
        <v>40287</v>
      </c>
      <c r="H147" s="109">
        <v>39904</v>
      </c>
      <c r="I147" s="109" t="s">
        <v>4842</v>
      </c>
      <c r="J147" s="71"/>
      <c r="K147" s="110"/>
    </row>
    <row r="148" spans="1:11" ht="22.5">
      <c r="A148" s="71" t="s">
        <v>4843</v>
      </c>
      <c r="B148" s="107" t="s">
        <v>2516</v>
      </c>
      <c r="C148" s="71" t="s">
        <v>2517</v>
      </c>
      <c r="D148" s="71" t="s">
        <v>4844</v>
      </c>
      <c r="E148" s="108">
        <v>891923.89</v>
      </c>
      <c r="F148" s="109">
        <v>39877</v>
      </c>
      <c r="G148" s="109">
        <v>40129</v>
      </c>
      <c r="H148" s="109">
        <v>39884</v>
      </c>
      <c r="I148" s="109">
        <v>39884</v>
      </c>
      <c r="J148" s="71" t="s">
        <v>4845</v>
      </c>
      <c r="K148" s="110"/>
    </row>
    <row r="149" spans="1:11">
      <c r="A149" s="71" t="s">
        <v>4846</v>
      </c>
      <c r="B149" s="107" t="s">
        <v>1124</v>
      </c>
      <c r="C149" s="71" t="s">
        <v>4847</v>
      </c>
      <c r="D149" s="71" t="s">
        <v>1132</v>
      </c>
      <c r="E149" s="108"/>
      <c r="F149" s="109">
        <v>39927</v>
      </c>
      <c r="G149" s="109"/>
      <c r="H149" s="109">
        <v>39938</v>
      </c>
      <c r="I149" s="109"/>
      <c r="J149" s="71"/>
      <c r="K149" s="110"/>
    </row>
    <row r="150" spans="1:11">
      <c r="A150" s="71" t="s">
        <v>4848</v>
      </c>
      <c r="B150" s="107" t="s">
        <v>1124</v>
      </c>
      <c r="C150" s="71" t="s">
        <v>4849</v>
      </c>
      <c r="D150" s="71" t="s">
        <v>4850</v>
      </c>
      <c r="E150" s="108"/>
      <c r="F150" s="109">
        <v>39927</v>
      </c>
      <c r="G150" s="109"/>
      <c r="H150" s="109">
        <v>39938</v>
      </c>
      <c r="I150" s="109"/>
      <c r="J150" s="71"/>
      <c r="K150" s="110"/>
    </row>
    <row r="151" spans="1:11">
      <c r="A151" s="71" t="s">
        <v>4851</v>
      </c>
      <c r="B151" s="107" t="s">
        <v>4643</v>
      </c>
      <c r="C151" s="71" t="s">
        <v>4852</v>
      </c>
      <c r="D151" s="71" t="s">
        <v>4853</v>
      </c>
      <c r="E151" s="108">
        <v>3740348</v>
      </c>
      <c r="F151" s="109">
        <v>39980</v>
      </c>
      <c r="G151" s="109"/>
      <c r="H151" s="109">
        <v>40026</v>
      </c>
      <c r="I151" s="109">
        <v>40077</v>
      </c>
      <c r="J151" s="71"/>
      <c r="K151" s="110"/>
    </row>
    <row r="152" spans="1:11">
      <c r="A152" s="71" t="s">
        <v>1133</v>
      </c>
      <c r="B152" s="107" t="s">
        <v>1054</v>
      </c>
      <c r="C152" s="71" t="s">
        <v>2530</v>
      </c>
      <c r="D152" s="71" t="s">
        <v>1134</v>
      </c>
      <c r="E152" s="108">
        <v>549642.84</v>
      </c>
      <c r="F152" s="109">
        <v>39941</v>
      </c>
      <c r="G152" s="109">
        <v>40137</v>
      </c>
      <c r="H152" s="109">
        <v>39945</v>
      </c>
      <c r="I152" s="109">
        <v>39960</v>
      </c>
      <c r="J152" s="71"/>
      <c r="K152" s="110"/>
    </row>
    <row r="153" spans="1:11">
      <c r="A153" s="71" t="s">
        <v>1135</v>
      </c>
      <c r="B153" s="107" t="s">
        <v>1054</v>
      </c>
      <c r="C153" s="71" t="s">
        <v>2530</v>
      </c>
      <c r="D153" s="71" t="s">
        <v>1136</v>
      </c>
      <c r="E153" s="108">
        <v>847014.40000000002</v>
      </c>
      <c r="F153" s="109">
        <v>39941</v>
      </c>
      <c r="G153" s="109">
        <v>40140</v>
      </c>
      <c r="H153" s="109">
        <v>39945</v>
      </c>
      <c r="I153" s="109">
        <v>39960</v>
      </c>
      <c r="J153" s="71"/>
      <c r="K153" s="110"/>
    </row>
    <row r="154" spans="1:11" ht="22.5">
      <c r="A154" s="71" t="s">
        <v>4854</v>
      </c>
      <c r="B154" s="107" t="s">
        <v>2516</v>
      </c>
      <c r="C154" s="71" t="s">
        <v>4855</v>
      </c>
      <c r="D154" s="71" t="s">
        <v>4856</v>
      </c>
      <c r="E154" s="108">
        <v>111332.46</v>
      </c>
      <c r="F154" s="109">
        <v>39877</v>
      </c>
      <c r="G154" s="109">
        <v>40022</v>
      </c>
      <c r="H154" s="109">
        <v>39884</v>
      </c>
      <c r="I154" s="109">
        <v>39884</v>
      </c>
      <c r="J154" s="71" t="s">
        <v>2518</v>
      </c>
      <c r="K154" s="110"/>
    </row>
    <row r="155" spans="1:11">
      <c r="A155" s="71" t="s">
        <v>4857</v>
      </c>
      <c r="B155" s="107" t="s">
        <v>1110</v>
      </c>
      <c r="C155" s="71" t="s">
        <v>2505</v>
      </c>
      <c r="D155" s="71" t="s">
        <v>4858</v>
      </c>
      <c r="E155" s="108">
        <v>542856</v>
      </c>
      <c r="F155" s="109">
        <v>39870</v>
      </c>
      <c r="G155" s="109"/>
      <c r="H155" s="109">
        <v>39876</v>
      </c>
      <c r="I155" s="109">
        <v>39881</v>
      </c>
      <c r="J155" s="71"/>
      <c r="K155" s="110"/>
    </row>
    <row r="156" spans="1:11">
      <c r="A156" s="71" t="s">
        <v>4859</v>
      </c>
      <c r="B156" s="107" t="s">
        <v>4627</v>
      </c>
      <c r="C156" s="71" t="s">
        <v>1137</v>
      </c>
      <c r="D156" s="71" t="s">
        <v>4860</v>
      </c>
      <c r="E156" s="108">
        <v>136754</v>
      </c>
      <c r="F156" s="109">
        <v>39856</v>
      </c>
      <c r="G156" s="109"/>
      <c r="H156" s="109">
        <v>39896</v>
      </c>
      <c r="I156" s="109">
        <v>39946</v>
      </c>
      <c r="J156" s="71"/>
      <c r="K156" s="110"/>
    </row>
    <row r="157" spans="1:11" ht="22.5">
      <c r="A157" s="71" t="s">
        <v>4861</v>
      </c>
      <c r="B157" s="107" t="s">
        <v>2504</v>
      </c>
      <c r="C157" s="71" t="s">
        <v>1138</v>
      </c>
      <c r="D157" s="71" t="s">
        <v>4862</v>
      </c>
      <c r="E157" s="108">
        <v>46583</v>
      </c>
      <c r="F157" s="109">
        <v>39891</v>
      </c>
      <c r="G157" s="109"/>
      <c r="H157" s="109">
        <v>39904</v>
      </c>
      <c r="I157" s="109">
        <v>39968</v>
      </c>
      <c r="J157" s="71"/>
      <c r="K157" s="110"/>
    </row>
    <row r="158" spans="1:11">
      <c r="A158" s="71" t="s">
        <v>1139</v>
      </c>
      <c r="B158" s="107" t="s">
        <v>2520</v>
      </c>
      <c r="C158" s="71" t="s">
        <v>1120</v>
      </c>
      <c r="D158" s="71" t="s">
        <v>1140</v>
      </c>
      <c r="E158" s="108">
        <v>355144</v>
      </c>
      <c r="F158" s="109">
        <v>39898</v>
      </c>
      <c r="G158" s="109">
        <v>40190</v>
      </c>
      <c r="H158" s="109">
        <v>39911</v>
      </c>
      <c r="I158" s="109">
        <v>39913</v>
      </c>
      <c r="J158" s="71"/>
      <c r="K158" s="110"/>
    </row>
    <row r="159" spans="1:11">
      <c r="A159" s="71" t="s">
        <v>1141</v>
      </c>
      <c r="B159" s="107" t="s">
        <v>2524</v>
      </c>
      <c r="C159" s="71" t="s">
        <v>1069</v>
      </c>
      <c r="D159" s="71" t="s">
        <v>1142</v>
      </c>
      <c r="E159" s="108">
        <v>414788</v>
      </c>
      <c r="F159" s="109">
        <v>39898</v>
      </c>
      <c r="G159" s="109">
        <v>40256</v>
      </c>
      <c r="H159" s="109">
        <v>39924</v>
      </c>
      <c r="I159" s="109">
        <v>39930</v>
      </c>
      <c r="J159" s="71"/>
      <c r="K159" s="110"/>
    </row>
    <row r="160" spans="1:11" ht="22.5">
      <c r="A160" s="71" t="s">
        <v>4863</v>
      </c>
      <c r="B160" s="107" t="s">
        <v>4864</v>
      </c>
      <c r="C160" s="71" t="s">
        <v>2514</v>
      </c>
      <c r="D160" s="71" t="s">
        <v>4865</v>
      </c>
      <c r="E160" s="108">
        <v>555920.75</v>
      </c>
      <c r="F160" s="109">
        <v>39909</v>
      </c>
      <c r="G160" s="109">
        <v>40009</v>
      </c>
      <c r="H160" s="109">
        <v>39940</v>
      </c>
      <c r="I160" s="109">
        <v>39946</v>
      </c>
      <c r="J160" s="71"/>
      <c r="K160" s="110"/>
    </row>
    <row r="161" spans="1:11">
      <c r="A161" s="71" t="s">
        <v>4866</v>
      </c>
      <c r="B161" s="107" t="s">
        <v>2543</v>
      </c>
      <c r="C161" s="71" t="s">
        <v>4867</v>
      </c>
      <c r="D161" s="71" t="s">
        <v>4868</v>
      </c>
      <c r="E161" s="108"/>
      <c r="F161" s="109">
        <v>39870</v>
      </c>
      <c r="G161" s="109"/>
      <c r="H161" s="109">
        <v>39881</v>
      </c>
      <c r="I161" s="109"/>
      <c r="J161" s="71"/>
      <c r="K161" s="110"/>
    </row>
    <row r="162" spans="1:11">
      <c r="A162" s="71" t="s">
        <v>4869</v>
      </c>
      <c r="B162" s="107" t="s">
        <v>2504</v>
      </c>
      <c r="C162" s="71"/>
      <c r="D162" s="71" t="s">
        <v>4870</v>
      </c>
      <c r="E162" s="108">
        <v>2400000</v>
      </c>
      <c r="F162" s="109">
        <v>39934</v>
      </c>
      <c r="G162" s="109"/>
      <c r="H162" s="109">
        <v>39965</v>
      </c>
      <c r="I162" s="109"/>
      <c r="J162" s="71"/>
      <c r="K162" s="110"/>
    </row>
    <row r="163" spans="1:11">
      <c r="A163" s="71" t="s">
        <v>4871</v>
      </c>
      <c r="B163" s="107" t="s">
        <v>2538</v>
      </c>
      <c r="C163" s="71" t="s">
        <v>2513</v>
      </c>
      <c r="D163" s="71" t="s">
        <v>4872</v>
      </c>
      <c r="E163" s="108">
        <v>621642</v>
      </c>
      <c r="F163" s="109">
        <v>39955</v>
      </c>
      <c r="G163" s="109">
        <v>40079</v>
      </c>
      <c r="H163" s="109">
        <v>39960</v>
      </c>
      <c r="I163" s="109">
        <v>39961</v>
      </c>
      <c r="J163" s="71"/>
      <c r="K163" s="110"/>
    </row>
    <row r="164" spans="1:11">
      <c r="A164" s="71" t="s">
        <v>4873</v>
      </c>
      <c r="B164" s="107" t="s">
        <v>1068</v>
      </c>
      <c r="C164" s="71" t="s">
        <v>2532</v>
      </c>
      <c r="D164" s="71" t="s">
        <v>4874</v>
      </c>
      <c r="E164" s="108">
        <v>244937.54</v>
      </c>
      <c r="F164" s="109">
        <v>39941</v>
      </c>
      <c r="G164" s="109">
        <v>40051</v>
      </c>
      <c r="H164" s="109">
        <v>39945</v>
      </c>
      <c r="I164" s="109">
        <v>39946</v>
      </c>
      <c r="J164" s="71"/>
      <c r="K164" s="110"/>
    </row>
    <row r="165" spans="1:11">
      <c r="A165" s="71" t="s">
        <v>1143</v>
      </c>
      <c r="B165" s="107" t="s">
        <v>2520</v>
      </c>
      <c r="C165" s="71" t="s">
        <v>1144</v>
      </c>
      <c r="D165" s="71" t="s">
        <v>1145</v>
      </c>
      <c r="E165" s="108">
        <v>275045.59000000003</v>
      </c>
      <c r="F165" s="109">
        <v>39953</v>
      </c>
      <c r="G165" s="109">
        <v>40254</v>
      </c>
      <c r="H165" s="109">
        <v>39966</v>
      </c>
      <c r="I165" s="109">
        <v>39966</v>
      </c>
      <c r="J165" s="71"/>
      <c r="K165" s="110"/>
    </row>
    <row r="166" spans="1:11">
      <c r="A166" s="71" t="s">
        <v>1146</v>
      </c>
      <c r="B166" s="107" t="s">
        <v>2520</v>
      </c>
      <c r="C166" s="71" t="s">
        <v>1147</v>
      </c>
      <c r="D166" s="71" t="s">
        <v>1148</v>
      </c>
      <c r="E166" s="108">
        <v>653135.75</v>
      </c>
      <c r="F166" s="109">
        <v>39926</v>
      </c>
      <c r="G166" s="109">
        <v>40059</v>
      </c>
      <c r="H166" s="109">
        <v>39945</v>
      </c>
      <c r="I166" s="109">
        <v>39951</v>
      </c>
      <c r="J166" s="71"/>
      <c r="K166" s="110"/>
    </row>
    <row r="167" spans="1:11">
      <c r="A167" s="71" t="s">
        <v>4875</v>
      </c>
      <c r="B167" s="107" t="s">
        <v>1068</v>
      </c>
      <c r="C167" s="71" t="s">
        <v>2526</v>
      </c>
      <c r="D167" s="71" t="s">
        <v>4876</v>
      </c>
      <c r="E167" s="108">
        <v>800381.62</v>
      </c>
      <c r="F167" s="109">
        <v>39906</v>
      </c>
      <c r="G167" s="109">
        <v>40205</v>
      </c>
      <c r="H167" s="109">
        <v>39917</v>
      </c>
      <c r="I167" s="109">
        <v>39918</v>
      </c>
      <c r="J167" s="71"/>
      <c r="K167" s="110"/>
    </row>
    <row r="168" spans="1:11">
      <c r="A168" s="71" t="s">
        <v>4877</v>
      </c>
      <c r="B168" s="107" t="s">
        <v>1149</v>
      </c>
      <c r="C168" s="71" t="s">
        <v>4878</v>
      </c>
      <c r="D168" s="71" t="s">
        <v>4879</v>
      </c>
      <c r="E168" s="108">
        <v>178477.75</v>
      </c>
      <c r="F168" s="109">
        <v>39941</v>
      </c>
      <c r="G168" s="109">
        <v>40042</v>
      </c>
      <c r="H168" s="109">
        <v>39951</v>
      </c>
      <c r="I168" s="109">
        <v>39965</v>
      </c>
      <c r="J168" s="71"/>
      <c r="K168" s="110"/>
    </row>
    <row r="169" spans="1:11">
      <c r="A169" s="71" t="s">
        <v>4880</v>
      </c>
      <c r="B169" s="107" t="s">
        <v>1149</v>
      </c>
      <c r="C169" s="71" t="s">
        <v>4881</v>
      </c>
      <c r="D169" s="71" t="s">
        <v>4879</v>
      </c>
      <c r="E169" s="108">
        <v>205000</v>
      </c>
      <c r="F169" s="109">
        <v>39918</v>
      </c>
      <c r="G169" s="109"/>
      <c r="H169" s="109">
        <v>39932</v>
      </c>
      <c r="I169" s="109"/>
      <c r="J169" s="71"/>
      <c r="K169" s="110"/>
    </row>
    <row r="170" spans="1:11">
      <c r="A170" s="71" t="s">
        <v>1150</v>
      </c>
      <c r="B170" s="107" t="s">
        <v>2524</v>
      </c>
      <c r="C170" s="71" t="s">
        <v>1151</v>
      </c>
      <c r="D170" s="71" t="s">
        <v>1152</v>
      </c>
      <c r="E170" s="108">
        <v>822000</v>
      </c>
      <c r="F170" s="109">
        <v>39902</v>
      </c>
      <c r="G170" s="109">
        <v>40256</v>
      </c>
      <c r="H170" s="109">
        <v>39902</v>
      </c>
      <c r="I170" s="109">
        <v>39939</v>
      </c>
      <c r="J170" s="71"/>
      <c r="K170" s="110"/>
    </row>
    <row r="171" spans="1:11">
      <c r="A171" s="71" t="s">
        <v>4882</v>
      </c>
      <c r="B171" s="107" t="s">
        <v>2509</v>
      </c>
      <c r="C171" s="71" t="s">
        <v>4883</v>
      </c>
      <c r="D171" s="71" t="s">
        <v>4884</v>
      </c>
      <c r="E171" s="108"/>
      <c r="F171" s="109">
        <v>39898</v>
      </c>
      <c r="G171" s="109"/>
      <c r="H171" s="109">
        <v>39930</v>
      </c>
      <c r="I171" s="109"/>
      <c r="J171" s="71"/>
      <c r="K171" s="110"/>
    </row>
    <row r="172" spans="1:11">
      <c r="A172" s="71" t="s">
        <v>4885</v>
      </c>
      <c r="B172" s="107" t="s">
        <v>1153</v>
      </c>
      <c r="C172" s="71" t="s">
        <v>4886</v>
      </c>
      <c r="D172" s="71" t="s">
        <v>4887</v>
      </c>
      <c r="E172" s="108">
        <v>579000</v>
      </c>
      <c r="F172" s="109">
        <v>39939</v>
      </c>
      <c r="G172" s="109"/>
      <c r="H172" s="109">
        <v>39945</v>
      </c>
      <c r="I172" s="109">
        <v>40074</v>
      </c>
      <c r="J172" s="71"/>
      <c r="K172" s="110"/>
    </row>
    <row r="173" spans="1:11">
      <c r="A173" s="71" t="s">
        <v>4888</v>
      </c>
      <c r="B173" s="107" t="s">
        <v>4721</v>
      </c>
      <c r="C173" s="71" t="s">
        <v>2540</v>
      </c>
      <c r="D173" s="71" t="s">
        <v>4889</v>
      </c>
      <c r="E173" s="108">
        <v>4097967.31</v>
      </c>
      <c r="F173" s="109">
        <v>39955</v>
      </c>
      <c r="G173" s="109"/>
      <c r="H173" s="109">
        <v>39988</v>
      </c>
      <c r="I173" s="109">
        <v>40074</v>
      </c>
      <c r="J173" s="71"/>
      <c r="K173" s="110"/>
    </row>
    <row r="174" spans="1:11">
      <c r="A174" s="71" t="s">
        <v>1154</v>
      </c>
      <c r="B174" s="107" t="s">
        <v>2524</v>
      </c>
      <c r="C174" s="71" t="s">
        <v>1155</v>
      </c>
      <c r="D174" s="71" t="s">
        <v>1156</v>
      </c>
      <c r="E174" s="108">
        <v>3571736</v>
      </c>
      <c r="F174" s="109">
        <v>39912</v>
      </c>
      <c r="G174" s="109">
        <v>40113</v>
      </c>
      <c r="H174" s="109">
        <v>39926</v>
      </c>
      <c r="I174" s="109">
        <v>39939</v>
      </c>
      <c r="J174" s="71"/>
      <c r="K174" s="110"/>
    </row>
    <row r="175" spans="1:11">
      <c r="A175" s="71" t="s">
        <v>4890</v>
      </c>
      <c r="B175" s="107" t="s">
        <v>1063</v>
      </c>
      <c r="C175" s="71" t="s">
        <v>4891</v>
      </c>
      <c r="D175" s="71" t="s">
        <v>4892</v>
      </c>
      <c r="E175" s="108">
        <v>562860.16</v>
      </c>
      <c r="F175" s="109">
        <v>39938</v>
      </c>
      <c r="G175" s="109">
        <v>40437</v>
      </c>
      <c r="H175" s="109">
        <v>39954</v>
      </c>
      <c r="I175" s="109">
        <v>39954</v>
      </c>
      <c r="J175" s="71"/>
      <c r="K175" s="110"/>
    </row>
    <row r="176" spans="1:11">
      <c r="A176" s="71" t="s">
        <v>4893</v>
      </c>
      <c r="B176" s="107" t="s">
        <v>1063</v>
      </c>
      <c r="C176" s="71" t="s">
        <v>4891</v>
      </c>
      <c r="D176" s="71" t="s">
        <v>4894</v>
      </c>
      <c r="E176" s="108">
        <v>620347</v>
      </c>
      <c r="F176" s="109">
        <v>39939</v>
      </c>
      <c r="G176" s="109">
        <v>40437</v>
      </c>
      <c r="H176" s="109">
        <v>39954</v>
      </c>
      <c r="I176" s="109">
        <v>39954</v>
      </c>
      <c r="J176" s="71"/>
      <c r="K176" s="110"/>
    </row>
    <row r="177" spans="1:11">
      <c r="A177" s="71" t="s">
        <v>4895</v>
      </c>
      <c r="B177" s="107" t="s">
        <v>1111</v>
      </c>
      <c r="C177" s="71" t="s">
        <v>4754</v>
      </c>
      <c r="D177" s="71" t="s">
        <v>4896</v>
      </c>
      <c r="E177" s="108">
        <v>361379</v>
      </c>
      <c r="F177" s="109">
        <v>39923</v>
      </c>
      <c r="G177" s="109">
        <v>40151</v>
      </c>
      <c r="H177" s="109">
        <v>39939</v>
      </c>
      <c r="I177" s="109">
        <v>40078</v>
      </c>
      <c r="J177" s="71"/>
      <c r="K177" s="110"/>
    </row>
    <row r="178" spans="1:11">
      <c r="A178" s="71" t="s">
        <v>4897</v>
      </c>
      <c r="B178" s="107" t="s">
        <v>2509</v>
      </c>
      <c r="C178" s="71" t="s">
        <v>4898</v>
      </c>
      <c r="D178" s="71" t="s">
        <v>4899</v>
      </c>
      <c r="E178" s="108">
        <v>359640</v>
      </c>
      <c r="F178" s="109">
        <v>39890</v>
      </c>
      <c r="G178" s="109">
        <v>40058</v>
      </c>
      <c r="H178" s="109">
        <v>39896</v>
      </c>
      <c r="I178" s="109">
        <v>39896</v>
      </c>
      <c r="J178" s="71"/>
      <c r="K178" s="110"/>
    </row>
    <row r="179" spans="1:11">
      <c r="A179" s="71" t="s">
        <v>1157</v>
      </c>
      <c r="B179" s="107" t="s">
        <v>2524</v>
      </c>
      <c r="C179" s="71" t="s">
        <v>2524</v>
      </c>
      <c r="D179" s="71" t="s">
        <v>1158</v>
      </c>
      <c r="E179" s="108">
        <v>250112</v>
      </c>
      <c r="F179" s="109">
        <v>39902</v>
      </c>
      <c r="G179" s="109">
        <v>40123</v>
      </c>
      <c r="H179" s="109">
        <v>39902</v>
      </c>
      <c r="I179" s="109"/>
      <c r="J179" s="71"/>
      <c r="K179" s="110"/>
    </row>
    <row r="180" spans="1:11">
      <c r="A180" s="71" t="s">
        <v>4900</v>
      </c>
      <c r="B180" s="107" t="s">
        <v>2536</v>
      </c>
      <c r="C180" s="71" t="s">
        <v>4901</v>
      </c>
      <c r="D180" s="71" t="s">
        <v>4902</v>
      </c>
      <c r="E180" s="108">
        <v>134273</v>
      </c>
      <c r="F180" s="109">
        <v>39896</v>
      </c>
      <c r="G180" s="109"/>
      <c r="H180" s="109">
        <v>39934</v>
      </c>
      <c r="I180" s="109">
        <v>39969</v>
      </c>
      <c r="J180" s="71"/>
      <c r="K180" s="110"/>
    </row>
    <row r="181" spans="1:11">
      <c r="A181" s="71" t="s">
        <v>4903</v>
      </c>
      <c r="B181" s="107" t="s">
        <v>2538</v>
      </c>
      <c r="C181" s="71" t="s">
        <v>2530</v>
      </c>
      <c r="D181" s="71" t="s">
        <v>4904</v>
      </c>
      <c r="E181" s="108">
        <v>1562669.3</v>
      </c>
      <c r="F181" s="109">
        <v>39954</v>
      </c>
      <c r="G181" s="109">
        <v>40113</v>
      </c>
      <c r="H181" s="109">
        <v>39959</v>
      </c>
      <c r="I181" s="109">
        <v>39965</v>
      </c>
      <c r="J181" s="71"/>
      <c r="K181" s="110"/>
    </row>
    <row r="182" spans="1:11">
      <c r="A182" s="71" t="s">
        <v>1159</v>
      </c>
      <c r="B182" s="107" t="s">
        <v>2520</v>
      </c>
      <c r="C182" s="71" t="s">
        <v>1160</v>
      </c>
      <c r="D182" s="71" t="s">
        <v>1161</v>
      </c>
      <c r="E182" s="108"/>
      <c r="F182" s="109">
        <v>39917</v>
      </c>
      <c r="G182" s="109">
        <v>40100</v>
      </c>
      <c r="H182" s="109">
        <v>39945</v>
      </c>
      <c r="I182" s="109">
        <v>39946</v>
      </c>
      <c r="J182" s="71"/>
      <c r="K182" s="110"/>
    </row>
    <row r="183" spans="1:11">
      <c r="A183" s="71" t="s">
        <v>1162</v>
      </c>
      <c r="B183" s="107" t="s">
        <v>2520</v>
      </c>
      <c r="C183" s="71" t="s">
        <v>2517</v>
      </c>
      <c r="D183" s="71" t="s">
        <v>1163</v>
      </c>
      <c r="E183" s="108">
        <v>335182.38</v>
      </c>
      <c r="F183" s="109">
        <v>39917</v>
      </c>
      <c r="G183" s="109">
        <v>40254</v>
      </c>
      <c r="H183" s="109">
        <v>39933</v>
      </c>
      <c r="I183" s="109">
        <v>39937</v>
      </c>
      <c r="J183" s="71"/>
      <c r="K183" s="110"/>
    </row>
    <row r="184" spans="1:11">
      <c r="A184" s="71" t="s">
        <v>1164</v>
      </c>
      <c r="B184" s="107" t="s">
        <v>2520</v>
      </c>
      <c r="C184" s="71" t="s">
        <v>1165</v>
      </c>
      <c r="D184" s="71" t="s">
        <v>1166</v>
      </c>
      <c r="E184" s="108"/>
      <c r="F184" s="109">
        <v>39913</v>
      </c>
      <c r="G184" s="109"/>
      <c r="H184" s="109">
        <v>39923</v>
      </c>
      <c r="I184" s="109"/>
      <c r="J184" s="71"/>
      <c r="K184" s="110"/>
    </row>
    <row r="185" spans="1:11">
      <c r="A185" s="71" t="s">
        <v>1167</v>
      </c>
      <c r="B185" s="107" t="s">
        <v>2520</v>
      </c>
      <c r="C185" s="71" t="s">
        <v>1168</v>
      </c>
      <c r="D185" s="71" t="s">
        <v>1169</v>
      </c>
      <c r="E185" s="108">
        <v>161799.76999999999</v>
      </c>
      <c r="F185" s="109">
        <v>39917</v>
      </c>
      <c r="G185" s="109"/>
      <c r="H185" s="109">
        <v>39938</v>
      </c>
      <c r="I185" s="109">
        <v>39938</v>
      </c>
      <c r="J185" s="71"/>
      <c r="K185" s="110"/>
    </row>
    <row r="186" spans="1:11">
      <c r="A186" s="71" t="s">
        <v>1170</v>
      </c>
      <c r="B186" s="107" t="s">
        <v>2520</v>
      </c>
      <c r="C186" s="71" t="s">
        <v>1171</v>
      </c>
      <c r="D186" s="71" t="s">
        <v>1172</v>
      </c>
      <c r="E186" s="108">
        <v>150776</v>
      </c>
      <c r="F186" s="109">
        <v>39917</v>
      </c>
      <c r="G186" s="109"/>
      <c r="H186" s="109">
        <v>39945</v>
      </c>
      <c r="I186" s="109">
        <v>39946</v>
      </c>
      <c r="J186" s="71"/>
      <c r="K186" s="110"/>
    </row>
    <row r="187" spans="1:11">
      <c r="A187" s="71" t="s">
        <v>1173</v>
      </c>
      <c r="B187" s="107" t="s">
        <v>2520</v>
      </c>
      <c r="C187" s="71"/>
      <c r="D187" s="71" t="s">
        <v>1174</v>
      </c>
      <c r="E187" s="108">
        <v>108000</v>
      </c>
      <c r="F187" s="109">
        <v>39917</v>
      </c>
      <c r="G187" s="109"/>
      <c r="H187" s="109">
        <v>39925</v>
      </c>
      <c r="I187" s="109"/>
      <c r="J187" s="71"/>
      <c r="K187" s="110"/>
    </row>
    <row r="188" spans="1:11" ht="33.75">
      <c r="A188" s="71" t="s">
        <v>1175</v>
      </c>
      <c r="B188" s="107" t="s">
        <v>2520</v>
      </c>
      <c r="C188" s="71" t="s">
        <v>1176</v>
      </c>
      <c r="D188" s="71" t="s">
        <v>1177</v>
      </c>
      <c r="E188" s="108"/>
      <c r="F188" s="109">
        <v>39917</v>
      </c>
      <c r="G188" s="109"/>
      <c r="H188" s="109">
        <v>39925</v>
      </c>
      <c r="I188" s="109"/>
      <c r="J188" s="71" t="s">
        <v>1176</v>
      </c>
      <c r="K188" s="110"/>
    </row>
    <row r="189" spans="1:11" ht="33.75">
      <c r="A189" s="71" t="s">
        <v>1178</v>
      </c>
      <c r="B189" s="107" t="s">
        <v>2520</v>
      </c>
      <c r="C189" s="71" t="s">
        <v>1176</v>
      </c>
      <c r="D189" s="71" t="s">
        <v>1179</v>
      </c>
      <c r="E189" s="108"/>
      <c r="F189" s="109">
        <v>39917</v>
      </c>
      <c r="G189" s="109"/>
      <c r="H189" s="109">
        <v>39925</v>
      </c>
      <c r="I189" s="109"/>
      <c r="J189" s="71" t="s">
        <v>1176</v>
      </c>
      <c r="K189" s="110"/>
    </row>
    <row r="190" spans="1:11" ht="33.75">
      <c r="A190" s="71" t="s">
        <v>1180</v>
      </c>
      <c r="B190" s="107" t="s">
        <v>2520</v>
      </c>
      <c r="C190" s="71" t="s">
        <v>1176</v>
      </c>
      <c r="D190" s="71" t="s">
        <v>1181</v>
      </c>
      <c r="E190" s="108"/>
      <c r="F190" s="109">
        <v>39917</v>
      </c>
      <c r="G190" s="109"/>
      <c r="H190" s="109">
        <v>39925</v>
      </c>
      <c r="I190" s="109"/>
      <c r="J190" s="71" t="s">
        <v>1176</v>
      </c>
      <c r="K190" s="110"/>
    </row>
    <row r="191" spans="1:11" ht="22.5">
      <c r="A191" s="71" t="s">
        <v>4905</v>
      </c>
      <c r="B191" s="107" t="s">
        <v>4906</v>
      </c>
      <c r="C191" s="71" t="s">
        <v>4907</v>
      </c>
      <c r="D191" s="71" t="s">
        <v>4908</v>
      </c>
      <c r="E191" s="108"/>
      <c r="F191" s="109">
        <v>40022</v>
      </c>
      <c r="G191" s="109"/>
      <c r="H191" s="109">
        <v>40066</v>
      </c>
      <c r="I191" s="109"/>
      <c r="J191" s="71"/>
      <c r="K191" s="110"/>
    </row>
    <row r="192" spans="1:11" ht="22.5">
      <c r="A192" s="71" t="s">
        <v>1182</v>
      </c>
      <c r="B192" s="107" t="s">
        <v>2520</v>
      </c>
      <c r="C192" s="71" t="s">
        <v>1183</v>
      </c>
      <c r="D192" s="71" t="s">
        <v>1184</v>
      </c>
      <c r="E192" s="108">
        <v>107994.66</v>
      </c>
      <c r="F192" s="109">
        <v>39925</v>
      </c>
      <c r="G192" s="109">
        <v>40254</v>
      </c>
      <c r="H192" s="109">
        <v>39939</v>
      </c>
      <c r="I192" s="109">
        <v>39940</v>
      </c>
      <c r="J192" s="71"/>
      <c r="K192" s="110"/>
    </row>
    <row r="193" spans="1:11" ht="22.5">
      <c r="A193" s="71" t="s">
        <v>1185</v>
      </c>
      <c r="B193" s="107" t="s">
        <v>2520</v>
      </c>
      <c r="C193" s="71" t="s">
        <v>1183</v>
      </c>
      <c r="D193" s="71" t="s">
        <v>1186</v>
      </c>
      <c r="E193" s="108">
        <v>515731.63</v>
      </c>
      <c r="F193" s="109">
        <v>39925</v>
      </c>
      <c r="G193" s="109">
        <v>40254</v>
      </c>
      <c r="H193" s="109">
        <v>39939</v>
      </c>
      <c r="I193" s="109">
        <v>39940</v>
      </c>
      <c r="J193" s="71"/>
      <c r="K193" s="110"/>
    </row>
    <row r="194" spans="1:11">
      <c r="A194" s="71" t="s">
        <v>1187</v>
      </c>
      <c r="B194" s="107" t="s">
        <v>2520</v>
      </c>
      <c r="C194" s="71" t="s">
        <v>1188</v>
      </c>
      <c r="D194" s="71" t="s">
        <v>1189</v>
      </c>
      <c r="E194" s="108">
        <v>233962.49</v>
      </c>
      <c r="F194" s="109">
        <v>39925</v>
      </c>
      <c r="G194" s="109">
        <v>40254</v>
      </c>
      <c r="H194" s="109">
        <v>39939</v>
      </c>
      <c r="I194" s="109">
        <v>39940</v>
      </c>
      <c r="J194" s="71"/>
      <c r="K194" s="110"/>
    </row>
    <row r="195" spans="1:11">
      <c r="A195" s="71" t="s">
        <v>1190</v>
      </c>
      <c r="B195" s="107" t="s">
        <v>2520</v>
      </c>
      <c r="C195" s="71" t="s">
        <v>1191</v>
      </c>
      <c r="D195" s="71" t="s">
        <v>1192</v>
      </c>
      <c r="E195" s="108">
        <v>115944</v>
      </c>
      <c r="F195" s="109">
        <v>39925</v>
      </c>
      <c r="G195" s="109">
        <v>40057</v>
      </c>
      <c r="H195" s="109">
        <v>39940</v>
      </c>
      <c r="I195" s="109">
        <v>39940</v>
      </c>
      <c r="J195" s="71"/>
      <c r="K195" s="110"/>
    </row>
    <row r="196" spans="1:11">
      <c r="A196" s="71" t="s">
        <v>4909</v>
      </c>
      <c r="B196" s="107" t="s">
        <v>2504</v>
      </c>
      <c r="C196" s="71" t="s">
        <v>4517</v>
      </c>
      <c r="D196" s="71" t="s">
        <v>4910</v>
      </c>
      <c r="E196" s="108"/>
      <c r="F196" s="109">
        <v>39939</v>
      </c>
      <c r="G196" s="109"/>
      <c r="H196" s="109">
        <v>39953</v>
      </c>
      <c r="I196" s="109"/>
      <c r="J196" s="71"/>
      <c r="K196" s="110"/>
    </row>
    <row r="197" spans="1:11">
      <c r="A197" s="71" t="s">
        <v>4911</v>
      </c>
      <c r="B197" s="107" t="s">
        <v>2507</v>
      </c>
      <c r="C197" s="71" t="s">
        <v>4912</v>
      </c>
      <c r="D197" s="71" t="s">
        <v>4913</v>
      </c>
      <c r="E197" s="108">
        <v>228958</v>
      </c>
      <c r="F197" s="109">
        <v>39932</v>
      </c>
      <c r="G197" s="109"/>
      <c r="H197" s="109">
        <v>39974</v>
      </c>
      <c r="I197" s="109">
        <v>39974</v>
      </c>
      <c r="J197" s="71"/>
      <c r="K197" s="110"/>
    </row>
    <row r="198" spans="1:11">
      <c r="A198" s="71" t="s">
        <v>1193</v>
      </c>
      <c r="B198" s="107" t="s">
        <v>2520</v>
      </c>
      <c r="C198" s="71" t="s">
        <v>1074</v>
      </c>
      <c r="D198" s="71" t="s">
        <v>1194</v>
      </c>
      <c r="E198" s="108">
        <v>114171.15</v>
      </c>
      <c r="F198" s="109">
        <v>39854</v>
      </c>
      <c r="G198" s="109">
        <v>40254</v>
      </c>
      <c r="H198" s="109">
        <v>39878</v>
      </c>
      <c r="I198" s="109">
        <v>39878</v>
      </c>
      <c r="J198" s="71"/>
      <c r="K198" s="110"/>
    </row>
    <row r="199" spans="1:11">
      <c r="A199" s="71" t="s">
        <v>1195</v>
      </c>
      <c r="B199" s="107" t="s">
        <v>2520</v>
      </c>
      <c r="C199" s="71" t="s">
        <v>2513</v>
      </c>
      <c r="D199" s="71" t="s">
        <v>1196</v>
      </c>
      <c r="E199" s="108">
        <v>456917.32</v>
      </c>
      <c r="F199" s="109">
        <v>39924</v>
      </c>
      <c r="G199" s="109">
        <v>40260</v>
      </c>
      <c r="H199" s="109">
        <v>39945</v>
      </c>
      <c r="I199" s="109">
        <v>39946</v>
      </c>
      <c r="J199" s="71"/>
      <c r="K199" s="110"/>
    </row>
    <row r="200" spans="1:11">
      <c r="A200" s="71" t="s">
        <v>1197</v>
      </c>
      <c r="B200" s="107" t="s">
        <v>2520</v>
      </c>
      <c r="C200" s="71" t="s">
        <v>1198</v>
      </c>
      <c r="D200" s="71" t="s">
        <v>1199</v>
      </c>
      <c r="E200" s="108"/>
      <c r="F200" s="109">
        <v>39885</v>
      </c>
      <c r="G200" s="109"/>
      <c r="H200" s="109">
        <v>39870</v>
      </c>
      <c r="I200" s="109"/>
      <c r="J200" s="71"/>
      <c r="K200" s="110"/>
    </row>
    <row r="201" spans="1:11">
      <c r="A201" s="71" t="s">
        <v>4914</v>
      </c>
      <c r="B201" s="107" t="s">
        <v>2543</v>
      </c>
      <c r="C201" s="71" t="s">
        <v>2521</v>
      </c>
      <c r="D201" s="71" t="s">
        <v>4915</v>
      </c>
      <c r="E201" s="108">
        <v>120142</v>
      </c>
      <c r="F201" s="109">
        <v>39911</v>
      </c>
      <c r="G201" s="109">
        <v>40288</v>
      </c>
      <c r="H201" s="109">
        <v>39930</v>
      </c>
      <c r="I201" s="109">
        <v>39933</v>
      </c>
      <c r="J201" s="71"/>
      <c r="K201" s="110"/>
    </row>
    <row r="202" spans="1:11" ht="22.5">
      <c r="A202" s="71" t="s">
        <v>4916</v>
      </c>
      <c r="B202" s="107" t="s">
        <v>2516</v>
      </c>
      <c r="C202" s="71" t="s">
        <v>1200</v>
      </c>
      <c r="D202" s="71" t="s">
        <v>4917</v>
      </c>
      <c r="E202" s="108">
        <v>256622.12</v>
      </c>
      <c r="F202" s="109">
        <v>39904</v>
      </c>
      <c r="G202" s="109">
        <v>40023</v>
      </c>
      <c r="H202" s="109">
        <v>39911</v>
      </c>
      <c r="I202" s="109">
        <v>39911</v>
      </c>
      <c r="J202" s="71"/>
      <c r="K202" s="110"/>
    </row>
    <row r="203" spans="1:11">
      <c r="A203" s="71" t="s">
        <v>4918</v>
      </c>
      <c r="B203" s="107" t="s">
        <v>4919</v>
      </c>
      <c r="C203" s="71" t="s">
        <v>2530</v>
      </c>
      <c r="D203" s="71" t="s">
        <v>4920</v>
      </c>
      <c r="E203" s="108">
        <v>1753378.11</v>
      </c>
      <c r="F203" s="109">
        <v>39926</v>
      </c>
      <c r="G203" s="109">
        <v>40256</v>
      </c>
      <c r="H203" s="109">
        <v>40009</v>
      </c>
      <c r="I203" s="109">
        <v>40025</v>
      </c>
      <c r="J203" s="71"/>
      <c r="K203" s="110"/>
    </row>
    <row r="204" spans="1:11" ht="22.5">
      <c r="A204" s="71" t="s">
        <v>4921</v>
      </c>
      <c r="B204" s="107" t="s">
        <v>1068</v>
      </c>
      <c r="C204" s="71" t="s">
        <v>4922</v>
      </c>
      <c r="D204" s="71" t="s">
        <v>4923</v>
      </c>
      <c r="E204" s="108">
        <v>88432</v>
      </c>
      <c r="F204" s="109">
        <v>39917</v>
      </c>
      <c r="G204" s="109"/>
      <c r="H204" s="109">
        <v>39918</v>
      </c>
      <c r="I204" s="109">
        <v>39919</v>
      </c>
      <c r="J204" s="71"/>
      <c r="K204" s="110"/>
    </row>
    <row r="205" spans="1:11" ht="22.5">
      <c r="A205" s="71" t="s">
        <v>4924</v>
      </c>
      <c r="B205" s="107" t="s">
        <v>1063</v>
      </c>
      <c r="C205" s="71" t="s">
        <v>4925</v>
      </c>
      <c r="D205" s="71" t="s">
        <v>4926</v>
      </c>
      <c r="E205" s="108">
        <v>298888</v>
      </c>
      <c r="F205" s="109">
        <v>39954</v>
      </c>
      <c r="G205" s="109"/>
      <c r="H205" s="109">
        <v>39954</v>
      </c>
      <c r="I205" s="109">
        <v>40001</v>
      </c>
      <c r="J205" s="71"/>
      <c r="K205" s="110"/>
    </row>
    <row r="206" spans="1:11">
      <c r="A206" s="71" t="s">
        <v>4927</v>
      </c>
      <c r="B206" s="107" t="s">
        <v>2509</v>
      </c>
      <c r="C206" s="71" t="s">
        <v>4928</v>
      </c>
      <c r="D206" s="71" t="s">
        <v>4929</v>
      </c>
      <c r="E206" s="108">
        <v>88432</v>
      </c>
      <c r="F206" s="109">
        <v>39917</v>
      </c>
      <c r="G206" s="109"/>
      <c r="H206" s="109">
        <v>39918</v>
      </c>
      <c r="I206" s="109">
        <v>39919</v>
      </c>
      <c r="J206" s="71"/>
      <c r="K206" s="110"/>
    </row>
    <row r="207" spans="1:11">
      <c r="A207" s="71" t="s">
        <v>4930</v>
      </c>
      <c r="B207" s="107" t="s">
        <v>2506</v>
      </c>
      <c r="C207" s="71" t="s">
        <v>1057</v>
      </c>
      <c r="D207" s="71" t="s">
        <v>4931</v>
      </c>
      <c r="E207" s="108">
        <v>253717</v>
      </c>
      <c r="F207" s="109">
        <v>39924</v>
      </c>
      <c r="G207" s="109"/>
      <c r="H207" s="109">
        <v>39945</v>
      </c>
      <c r="I207" s="109">
        <v>39972</v>
      </c>
      <c r="J207" s="71"/>
      <c r="K207" s="110"/>
    </row>
    <row r="208" spans="1:11">
      <c r="A208" s="71" t="s">
        <v>4932</v>
      </c>
      <c r="B208" s="107" t="s">
        <v>4933</v>
      </c>
      <c r="C208" s="71" t="s">
        <v>4934</v>
      </c>
      <c r="D208" s="71" t="s">
        <v>4935</v>
      </c>
      <c r="E208" s="108">
        <v>415926.9</v>
      </c>
      <c r="F208" s="109">
        <v>39917</v>
      </c>
      <c r="G208" s="109">
        <v>39994</v>
      </c>
      <c r="H208" s="109">
        <v>39924</v>
      </c>
      <c r="I208" s="109">
        <v>39939</v>
      </c>
      <c r="J208" s="71"/>
      <c r="K208" s="110"/>
    </row>
    <row r="209" spans="1:11">
      <c r="A209" s="71" t="s">
        <v>4936</v>
      </c>
      <c r="B209" s="107" t="s">
        <v>4624</v>
      </c>
      <c r="C209" s="71" t="s">
        <v>4937</v>
      </c>
      <c r="D209" s="71" t="s">
        <v>4938</v>
      </c>
      <c r="E209" s="108">
        <v>3013714.05</v>
      </c>
      <c r="F209" s="109">
        <v>39918</v>
      </c>
      <c r="G209" s="109">
        <v>40297</v>
      </c>
      <c r="H209" s="109">
        <v>39927</v>
      </c>
      <c r="I209" s="109">
        <v>39930</v>
      </c>
      <c r="J209" s="71"/>
      <c r="K209" s="110"/>
    </row>
    <row r="210" spans="1:11">
      <c r="A210" s="71" t="s">
        <v>4939</v>
      </c>
      <c r="B210" s="107" t="s">
        <v>2506</v>
      </c>
      <c r="C210" s="71"/>
      <c r="D210" s="71" t="s">
        <v>4940</v>
      </c>
      <c r="E210" s="108">
        <v>650000</v>
      </c>
      <c r="F210" s="109">
        <v>39995</v>
      </c>
      <c r="G210" s="109"/>
      <c r="H210" s="109">
        <v>40057</v>
      </c>
      <c r="I210" s="109"/>
      <c r="J210" s="71"/>
      <c r="K210" s="110"/>
    </row>
    <row r="211" spans="1:11">
      <c r="A211" s="71" t="s">
        <v>1201</v>
      </c>
      <c r="B211" s="107" t="s">
        <v>2520</v>
      </c>
      <c r="C211" s="71" t="s">
        <v>1188</v>
      </c>
      <c r="D211" s="71" t="s">
        <v>1202</v>
      </c>
      <c r="E211" s="108">
        <v>153673.60000000001</v>
      </c>
      <c r="F211" s="109">
        <v>39933</v>
      </c>
      <c r="G211" s="109">
        <v>40254</v>
      </c>
      <c r="H211" s="109">
        <v>39952</v>
      </c>
      <c r="I211" s="109">
        <v>39960</v>
      </c>
      <c r="J211" s="71"/>
      <c r="K211" s="110"/>
    </row>
    <row r="212" spans="1:11" ht="22.5">
      <c r="A212" s="71" t="s">
        <v>4941</v>
      </c>
      <c r="B212" s="107" t="s">
        <v>1131</v>
      </c>
      <c r="C212" s="71" t="s">
        <v>4942</v>
      </c>
      <c r="D212" s="71" t="s">
        <v>4943</v>
      </c>
      <c r="E212" s="108">
        <v>722060.5</v>
      </c>
      <c r="F212" s="109">
        <v>39989</v>
      </c>
      <c r="G212" s="109">
        <v>40112</v>
      </c>
      <c r="H212" s="109">
        <v>40003</v>
      </c>
      <c r="I212" s="109">
        <v>40004</v>
      </c>
      <c r="J212" s="71"/>
      <c r="K212" s="110"/>
    </row>
    <row r="213" spans="1:11" ht="22.5">
      <c r="A213" s="71" t="s">
        <v>1203</v>
      </c>
      <c r="B213" s="107" t="s">
        <v>2520</v>
      </c>
      <c r="C213" s="71" t="s">
        <v>1204</v>
      </c>
      <c r="D213" s="71" t="s">
        <v>1205</v>
      </c>
      <c r="E213" s="108"/>
      <c r="F213" s="109">
        <v>39933</v>
      </c>
      <c r="G213" s="109">
        <v>39960</v>
      </c>
      <c r="H213" s="109">
        <v>39941</v>
      </c>
      <c r="I213" s="109"/>
      <c r="J213" s="71" t="s">
        <v>1206</v>
      </c>
      <c r="K213" s="110"/>
    </row>
    <row r="214" spans="1:11">
      <c r="A214" s="71" t="s">
        <v>1207</v>
      </c>
      <c r="B214" s="107" t="s">
        <v>2520</v>
      </c>
      <c r="C214" s="71" t="s">
        <v>1188</v>
      </c>
      <c r="D214" s="71" t="s">
        <v>1208</v>
      </c>
      <c r="E214" s="108">
        <v>973570.17</v>
      </c>
      <c r="F214" s="109">
        <v>39933</v>
      </c>
      <c r="G214" s="109">
        <v>40254</v>
      </c>
      <c r="H214" s="109">
        <v>39952</v>
      </c>
      <c r="I214" s="109">
        <v>39960</v>
      </c>
      <c r="J214" s="71"/>
      <c r="K214" s="110"/>
    </row>
    <row r="215" spans="1:11">
      <c r="A215" s="71" t="s">
        <v>4944</v>
      </c>
      <c r="B215" s="107" t="s">
        <v>4549</v>
      </c>
      <c r="C215" s="71" t="s">
        <v>4945</v>
      </c>
      <c r="D215" s="71" t="s">
        <v>4946</v>
      </c>
      <c r="E215" s="108">
        <v>192201.67</v>
      </c>
      <c r="F215" s="109">
        <v>39918</v>
      </c>
      <c r="G215" s="109"/>
      <c r="H215" s="109">
        <v>39940</v>
      </c>
      <c r="I215" s="109">
        <v>39947</v>
      </c>
      <c r="J215" s="71"/>
      <c r="K215" s="110"/>
    </row>
    <row r="216" spans="1:11">
      <c r="A216" s="71" t="s">
        <v>4947</v>
      </c>
      <c r="B216" s="107" t="s">
        <v>4933</v>
      </c>
      <c r="C216" s="71" t="s">
        <v>1209</v>
      </c>
      <c r="D216" s="71" t="s">
        <v>4948</v>
      </c>
      <c r="E216" s="108">
        <v>195221.5</v>
      </c>
      <c r="F216" s="109">
        <v>39937</v>
      </c>
      <c r="G216" s="109">
        <v>40078</v>
      </c>
      <c r="H216" s="109">
        <v>39937</v>
      </c>
      <c r="I216" s="109">
        <v>39952</v>
      </c>
      <c r="J216" s="71"/>
      <c r="K216" s="110"/>
    </row>
    <row r="217" spans="1:11">
      <c r="A217" s="71" t="s">
        <v>4949</v>
      </c>
      <c r="B217" s="107" t="s">
        <v>1062</v>
      </c>
      <c r="C217" s="71" t="s">
        <v>4825</v>
      </c>
      <c r="D217" s="71" t="s">
        <v>4950</v>
      </c>
      <c r="E217" s="108">
        <v>1365661.75</v>
      </c>
      <c r="F217" s="109">
        <v>39945</v>
      </c>
      <c r="G217" s="109"/>
      <c r="H217" s="109">
        <v>39954</v>
      </c>
      <c r="I217" s="109">
        <v>39969</v>
      </c>
      <c r="J217" s="71"/>
      <c r="K217" s="110"/>
    </row>
    <row r="218" spans="1:11">
      <c r="A218" s="71" t="s">
        <v>4951</v>
      </c>
      <c r="B218" s="107" t="s">
        <v>1210</v>
      </c>
      <c r="C218" s="71" t="s">
        <v>2513</v>
      </c>
      <c r="D218" s="71" t="s">
        <v>4952</v>
      </c>
      <c r="E218" s="108">
        <v>8910322.5999999996</v>
      </c>
      <c r="F218" s="109">
        <v>39952</v>
      </c>
      <c r="G218" s="109"/>
      <c r="H218" s="109">
        <v>39980</v>
      </c>
      <c r="I218" s="109">
        <v>40080</v>
      </c>
      <c r="J218" s="71"/>
      <c r="K218" s="110"/>
    </row>
    <row r="219" spans="1:11">
      <c r="A219" s="71" t="s">
        <v>4953</v>
      </c>
      <c r="B219" s="107" t="s">
        <v>1068</v>
      </c>
      <c r="C219" s="71" t="s">
        <v>4954</v>
      </c>
      <c r="D219" s="71" t="s">
        <v>4955</v>
      </c>
      <c r="E219" s="108">
        <v>289629.28999999998</v>
      </c>
      <c r="F219" s="109">
        <v>39948</v>
      </c>
      <c r="G219" s="109"/>
      <c r="H219" s="109">
        <v>39959</v>
      </c>
      <c r="I219" s="109">
        <v>39960</v>
      </c>
      <c r="J219" s="71"/>
      <c r="K219" s="110"/>
    </row>
    <row r="220" spans="1:11">
      <c r="A220" s="71" t="s">
        <v>4956</v>
      </c>
      <c r="B220" s="107" t="s">
        <v>1063</v>
      </c>
      <c r="C220" s="71" t="s">
        <v>2513</v>
      </c>
      <c r="D220" s="71" t="s">
        <v>4957</v>
      </c>
      <c r="E220" s="108">
        <v>2460460</v>
      </c>
      <c r="F220" s="109">
        <v>39933</v>
      </c>
      <c r="G220" s="109"/>
      <c r="H220" s="109">
        <v>39954</v>
      </c>
      <c r="I220" s="109">
        <v>40001</v>
      </c>
      <c r="J220" s="71"/>
      <c r="K220" s="110"/>
    </row>
    <row r="221" spans="1:11" ht="22.5">
      <c r="A221" s="71" t="s">
        <v>4958</v>
      </c>
      <c r="B221" s="107" t="s">
        <v>4549</v>
      </c>
      <c r="C221" s="71" t="s">
        <v>2514</v>
      </c>
      <c r="D221" s="71" t="s">
        <v>4959</v>
      </c>
      <c r="E221" s="108">
        <v>279007</v>
      </c>
      <c r="F221" s="109">
        <v>39948</v>
      </c>
      <c r="G221" s="109"/>
      <c r="H221" s="109">
        <v>40031</v>
      </c>
      <c r="I221" s="109">
        <v>40077</v>
      </c>
      <c r="J221" s="71"/>
      <c r="K221" s="110"/>
    </row>
    <row r="222" spans="1:11">
      <c r="A222" s="71" t="s">
        <v>4960</v>
      </c>
      <c r="B222" s="107" t="s">
        <v>1211</v>
      </c>
      <c r="C222" s="71" t="s">
        <v>4961</v>
      </c>
      <c r="D222" s="71" t="s">
        <v>4962</v>
      </c>
      <c r="E222" s="108">
        <v>400000</v>
      </c>
      <c r="F222" s="109">
        <v>39975</v>
      </c>
      <c r="G222" s="109"/>
      <c r="H222" s="109">
        <v>40064</v>
      </c>
      <c r="I222" s="109">
        <v>40077</v>
      </c>
      <c r="J222" s="71"/>
      <c r="K222" s="110"/>
    </row>
    <row r="223" spans="1:11">
      <c r="A223" s="71" t="s">
        <v>4963</v>
      </c>
      <c r="B223" s="107" t="s">
        <v>1063</v>
      </c>
      <c r="C223" s="71" t="s">
        <v>1212</v>
      </c>
      <c r="D223" s="71" t="s">
        <v>4964</v>
      </c>
      <c r="E223" s="108">
        <v>1360000</v>
      </c>
      <c r="F223" s="109">
        <v>39934</v>
      </c>
      <c r="G223" s="109"/>
      <c r="H223" s="109">
        <v>39965</v>
      </c>
      <c r="I223" s="109"/>
      <c r="J223" s="71"/>
      <c r="K223" s="110"/>
    </row>
    <row r="224" spans="1:11">
      <c r="A224" s="71" t="s">
        <v>4963</v>
      </c>
      <c r="B224" s="107"/>
      <c r="C224" s="71" t="s">
        <v>1191</v>
      </c>
      <c r="D224" s="71"/>
      <c r="E224" s="108">
        <v>242200</v>
      </c>
      <c r="F224" s="109">
        <v>39953</v>
      </c>
      <c r="G224" s="109"/>
      <c r="H224" s="109">
        <v>39975</v>
      </c>
      <c r="I224" s="109">
        <v>39987</v>
      </c>
      <c r="J224" s="71"/>
      <c r="K224" s="110"/>
    </row>
    <row r="225" spans="1:11">
      <c r="A225" s="71" t="s">
        <v>4963</v>
      </c>
      <c r="B225" s="107"/>
      <c r="C225" s="71" t="s">
        <v>1188</v>
      </c>
      <c r="D225" s="71"/>
      <c r="E225" s="108">
        <v>179068</v>
      </c>
      <c r="F225" s="109">
        <v>39953</v>
      </c>
      <c r="G225" s="109"/>
      <c r="H225" s="109">
        <v>39975</v>
      </c>
      <c r="I225" s="109">
        <v>39987</v>
      </c>
      <c r="J225" s="71"/>
      <c r="K225" s="110"/>
    </row>
    <row r="226" spans="1:11">
      <c r="A226" s="71" t="s">
        <v>4965</v>
      </c>
      <c r="B226" s="107" t="s">
        <v>1213</v>
      </c>
      <c r="C226" s="71" t="s">
        <v>4966</v>
      </c>
      <c r="D226" s="71" t="s">
        <v>4967</v>
      </c>
      <c r="E226" s="108">
        <v>783521.96</v>
      </c>
      <c r="F226" s="109">
        <v>39937</v>
      </c>
      <c r="G226" s="109">
        <v>40151</v>
      </c>
      <c r="H226" s="109">
        <v>39939</v>
      </c>
      <c r="I226" s="109">
        <v>39941</v>
      </c>
      <c r="J226" s="71"/>
      <c r="K226" s="110"/>
    </row>
    <row r="227" spans="1:11">
      <c r="A227" s="71" t="s">
        <v>4968</v>
      </c>
      <c r="B227" s="107" t="s">
        <v>2538</v>
      </c>
      <c r="C227" s="71" t="s">
        <v>2513</v>
      </c>
      <c r="D227" s="71" t="s">
        <v>4969</v>
      </c>
      <c r="E227" s="108">
        <v>1210552.69</v>
      </c>
      <c r="F227" s="109">
        <v>40001</v>
      </c>
      <c r="G227" s="109">
        <v>40456</v>
      </c>
      <c r="H227" s="109">
        <v>40002</v>
      </c>
      <c r="I227" s="109">
        <v>40035</v>
      </c>
      <c r="J227" s="71"/>
      <c r="K227" s="110"/>
    </row>
    <row r="228" spans="1:11" ht="22.5">
      <c r="A228" s="71" t="s">
        <v>4970</v>
      </c>
      <c r="B228" s="107" t="s">
        <v>2543</v>
      </c>
      <c r="C228" s="71" t="s">
        <v>4971</v>
      </c>
      <c r="D228" s="71" t="s">
        <v>4972</v>
      </c>
      <c r="E228" s="108"/>
      <c r="F228" s="109">
        <v>39953</v>
      </c>
      <c r="G228" s="109"/>
      <c r="H228" s="109">
        <v>39972</v>
      </c>
      <c r="I228" s="109"/>
      <c r="J228" s="71" t="s">
        <v>4973</v>
      </c>
      <c r="K228" s="110"/>
    </row>
    <row r="229" spans="1:11">
      <c r="A229" s="71" t="s">
        <v>4974</v>
      </c>
      <c r="B229" s="107" t="s">
        <v>1062</v>
      </c>
      <c r="C229" s="71" t="s">
        <v>4975</v>
      </c>
      <c r="D229" s="71" t="s">
        <v>4976</v>
      </c>
      <c r="E229" s="108">
        <v>42990</v>
      </c>
      <c r="F229" s="109">
        <v>39939</v>
      </c>
      <c r="G229" s="109"/>
      <c r="H229" s="109">
        <v>39954</v>
      </c>
      <c r="I229" s="109">
        <v>39969</v>
      </c>
      <c r="J229" s="71"/>
      <c r="K229" s="110"/>
    </row>
    <row r="230" spans="1:11">
      <c r="A230" s="71" t="s">
        <v>4977</v>
      </c>
      <c r="B230" s="107" t="s">
        <v>1214</v>
      </c>
      <c r="C230" s="71" t="s">
        <v>1112</v>
      </c>
      <c r="D230" s="71" t="s">
        <v>4978</v>
      </c>
      <c r="E230" s="108">
        <v>322273</v>
      </c>
      <c r="F230" s="109">
        <v>39931</v>
      </c>
      <c r="G230" s="109"/>
      <c r="H230" s="109">
        <v>39938</v>
      </c>
      <c r="I230" s="109">
        <v>39938</v>
      </c>
      <c r="J230" s="71"/>
      <c r="K230" s="110"/>
    </row>
    <row r="231" spans="1:11">
      <c r="A231" s="71" t="s">
        <v>4979</v>
      </c>
      <c r="B231" s="107" t="s">
        <v>1214</v>
      </c>
      <c r="C231" s="71" t="s">
        <v>1112</v>
      </c>
      <c r="D231" s="71" t="s">
        <v>4980</v>
      </c>
      <c r="E231" s="108">
        <v>240974.5</v>
      </c>
      <c r="F231" s="109">
        <v>39932</v>
      </c>
      <c r="G231" s="109">
        <v>40018</v>
      </c>
      <c r="H231" s="109">
        <v>39952</v>
      </c>
      <c r="I231" s="109">
        <v>39952</v>
      </c>
      <c r="J231" s="71"/>
      <c r="K231" s="110"/>
    </row>
    <row r="232" spans="1:11">
      <c r="A232" s="71" t="s">
        <v>4981</v>
      </c>
      <c r="B232" s="107" t="s">
        <v>1214</v>
      </c>
      <c r="C232" s="71" t="s">
        <v>2540</v>
      </c>
      <c r="D232" s="71" t="s">
        <v>4982</v>
      </c>
      <c r="E232" s="108">
        <v>1161949</v>
      </c>
      <c r="F232" s="109">
        <v>39932</v>
      </c>
      <c r="G232" s="109">
        <v>40133</v>
      </c>
      <c r="H232" s="109">
        <v>39952</v>
      </c>
      <c r="I232" s="109">
        <v>39952</v>
      </c>
      <c r="J232" s="71"/>
      <c r="K232" s="110"/>
    </row>
    <row r="233" spans="1:11">
      <c r="A233" s="71" t="s">
        <v>4983</v>
      </c>
      <c r="B233" s="107" t="s">
        <v>2516</v>
      </c>
      <c r="C233" s="71" t="s">
        <v>2530</v>
      </c>
      <c r="D233" s="71" t="s">
        <v>4984</v>
      </c>
      <c r="E233" s="108">
        <v>120000</v>
      </c>
      <c r="F233" s="109"/>
      <c r="G233" s="109"/>
      <c r="H233" s="109">
        <v>39903</v>
      </c>
      <c r="I233" s="109">
        <v>39911</v>
      </c>
      <c r="J233" s="71"/>
      <c r="K233" s="110"/>
    </row>
    <row r="234" spans="1:11">
      <c r="A234" s="71" t="s">
        <v>1215</v>
      </c>
      <c r="B234" s="107" t="s">
        <v>1054</v>
      </c>
      <c r="C234" s="71" t="s">
        <v>1216</v>
      </c>
      <c r="D234" s="71" t="s">
        <v>1217</v>
      </c>
      <c r="E234" s="108">
        <v>129130</v>
      </c>
      <c r="F234" s="109">
        <v>39953</v>
      </c>
      <c r="G234" s="109">
        <v>40028</v>
      </c>
      <c r="H234" s="109">
        <v>39959</v>
      </c>
      <c r="I234" s="109">
        <v>39960</v>
      </c>
      <c r="J234" s="71"/>
      <c r="K234" s="110"/>
    </row>
    <row r="235" spans="1:11">
      <c r="A235" s="71" t="s">
        <v>4985</v>
      </c>
      <c r="B235" s="107" t="s">
        <v>1218</v>
      </c>
      <c r="C235" s="71"/>
      <c r="D235" s="71" t="s">
        <v>4986</v>
      </c>
      <c r="E235" s="108">
        <v>1500000</v>
      </c>
      <c r="F235" s="109">
        <v>40026</v>
      </c>
      <c r="G235" s="109"/>
      <c r="H235" s="109">
        <v>40057</v>
      </c>
      <c r="I235" s="109"/>
      <c r="J235" s="71"/>
      <c r="K235" s="110"/>
    </row>
    <row r="236" spans="1:11">
      <c r="A236" s="71" t="s">
        <v>4987</v>
      </c>
      <c r="B236" s="107" t="s">
        <v>2509</v>
      </c>
      <c r="C236" s="71" t="s">
        <v>4988</v>
      </c>
      <c r="D236" s="71" t="s">
        <v>4989</v>
      </c>
      <c r="E236" s="108">
        <v>574978</v>
      </c>
      <c r="F236" s="109">
        <v>39940</v>
      </c>
      <c r="G236" s="109">
        <v>40142</v>
      </c>
      <c r="H236" s="109">
        <v>39972</v>
      </c>
      <c r="I236" s="109">
        <v>39975</v>
      </c>
      <c r="J236" s="71"/>
      <c r="K236" s="110"/>
    </row>
    <row r="237" spans="1:11">
      <c r="A237" s="71" t="s">
        <v>4990</v>
      </c>
      <c r="B237" s="107" t="s">
        <v>4991</v>
      </c>
      <c r="C237" s="71"/>
      <c r="D237" s="71" t="s">
        <v>4992</v>
      </c>
      <c r="E237" s="108">
        <v>1500000</v>
      </c>
      <c r="F237" s="109">
        <v>39973</v>
      </c>
      <c r="G237" s="109"/>
      <c r="H237" s="109">
        <v>40003</v>
      </c>
      <c r="I237" s="109"/>
      <c r="J237" s="71"/>
      <c r="K237" s="110"/>
    </row>
    <row r="238" spans="1:11">
      <c r="A238" s="71" t="s">
        <v>4993</v>
      </c>
      <c r="B238" s="107" t="s">
        <v>2507</v>
      </c>
      <c r="C238" s="71" t="s">
        <v>4523</v>
      </c>
      <c r="D238" s="71" t="s">
        <v>4994</v>
      </c>
      <c r="E238" s="108">
        <v>1699803.9</v>
      </c>
      <c r="F238" s="109">
        <v>39951</v>
      </c>
      <c r="G238" s="109"/>
      <c r="H238" s="109">
        <v>39988</v>
      </c>
      <c r="I238" s="109">
        <v>40008</v>
      </c>
      <c r="J238" s="71"/>
      <c r="K238" s="110"/>
    </row>
    <row r="239" spans="1:11" ht="22.5">
      <c r="A239" s="71" t="s">
        <v>4995</v>
      </c>
      <c r="B239" s="107" t="s">
        <v>4996</v>
      </c>
      <c r="C239" s="71" t="s">
        <v>2514</v>
      </c>
      <c r="D239" s="71" t="s">
        <v>4997</v>
      </c>
      <c r="E239" s="108">
        <v>1248007</v>
      </c>
      <c r="F239" s="109">
        <v>39983</v>
      </c>
      <c r="G239" s="109"/>
      <c r="H239" s="109">
        <v>40000</v>
      </c>
      <c r="I239" s="109">
        <v>40072</v>
      </c>
      <c r="J239" s="71"/>
      <c r="K239" s="110"/>
    </row>
    <row r="240" spans="1:11">
      <c r="A240" s="71" t="s">
        <v>4998</v>
      </c>
      <c r="B240" s="107" t="s">
        <v>4991</v>
      </c>
      <c r="C240" s="71" t="s">
        <v>2515</v>
      </c>
      <c r="D240" s="71" t="s">
        <v>4999</v>
      </c>
      <c r="E240" s="108">
        <v>436090.88</v>
      </c>
      <c r="F240" s="109">
        <v>39968</v>
      </c>
      <c r="G240" s="109">
        <v>40049</v>
      </c>
      <c r="H240" s="109">
        <v>39969</v>
      </c>
      <c r="I240" s="109">
        <v>39972</v>
      </c>
      <c r="J240" s="71"/>
      <c r="K240" s="110"/>
    </row>
    <row r="241" spans="1:11">
      <c r="A241" s="71" t="s">
        <v>5000</v>
      </c>
      <c r="B241" s="107" t="s">
        <v>4991</v>
      </c>
      <c r="C241" s="71" t="s">
        <v>5001</v>
      </c>
      <c r="D241" s="71" t="s">
        <v>5002</v>
      </c>
      <c r="E241" s="108">
        <v>2485422</v>
      </c>
      <c r="F241" s="109">
        <v>40045</v>
      </c>
      <c r="G241" s="109"/>
      <c r="H241" s="109">
        <v>40046</v>
      </c>
      <c r="I241" s="109">
        <v>40064</v>
      </c>
      <c r="J241" s="71"/>
      <c r="K241" s="110"/>
    </row>
    <row r="242" spans="1:11">
      <c r="A242" s="71" t="s">
        <v>5003</v>
      </c>
      <c r="B242" s="107" t="s">
        <v>5004</v>
      </c>
      <c r="C242" s="71" t="s">
        <v>4708</v>
      </c>
      <c r="D242" s="71" t="s">
        <v>5005</v>
      </c>
      <c r="E242" s="108">
        <v>300000</v>
      </c>
      <c r="F242" s="109">
        <v>39941</v>
      </c>
      <c r="G242" s="109"/>
      <c r="H242" s="109">
        <v>39964</v>
      </c>
      <c r="I242" s="109">
        <v>40053</v>
      </c>
      <c r="J242" s="71"/>
      <c r="K242" s="110"/>
    </row>
    <row r="243" spans="1:11">
      <c r="A243" s="71" t="s">
        <v>5006</v>
      </c>
      <c r="B243" s="107" t="s">
        <v>2507</v>
      </c>
      <c r="C243" s="71" t="s">
        <v>5007</v>
      </c>
      <c r="D243" s="71" t="s">
        <v>5008</v>
      </c>
      <c r="E243" s="108">
        <v>440000</v>
      </c>
      <c r="F243" s="109">
        <v>40057</v>
      </c>
      <c r="G243" s="109"/>
      <c r="H243" s="109">
        <v>40086</v>
      </c>
      <c r="I243" s="109"/>
      <c r="J243" s="71"/>
      <c r="K243" s="110"/>
    </row>
    <row r="244" spans="1:11">
      <c r="A244" s="71" t="s">
        <v>5009</v>
      </c>
      <c r="B244" s="107" t="s">
        <v>5010</v>
      </c>
      <c r="C244" s="71" t="s">
        <v>4754</v>
      </c>
      <c r="D244" s="71" t="s">
        <v>5011</v>
      </c>
      <c r="E244" s="108">
        <v>498000</v>
      </c>
      <c r="F244" s="109">
        <v>39951</v>
      </c>
      <c r="G244" s="109"/>
      <c r="H244" s="109">
        <v>40000</v>
      </c>
      <c r="I244" s="109">
        <v>40000</v>
      </c>
      <c r="J244" s="71"/>
      <c r="K244" s="110"/>
    </row>
    <row r="245" spans="1:11">
      <c r="A245" s="71" t="s">
        <v>5012</v>
      </c>
      <c r="B245" s="107" t="s">
        <v>5013</v>
      </c>
      <c r="C245" s="71"/>
      <c r="D245" s="71" t="s">
        <v>5014</v>
      </c>
      <c r="E245" s="108">
        <v>122500</v>
      </c>
      <c r="F245" s="109">
        <v>39952</v>
      </c>
      <c r="G245" s="109"/>
      <c r="H245" s="109">
        <v>39953</v>
      </c>
      <c r="I245" s="109"/>
      <c r="J245" s="71"/>
      <c r="K245" s="110"/>
    </row>
    <row r="246" spans="1:11">
      <c r="A246" s="71" t="s">
        <v>5015</v>
      </c>
      <c r="B246" s="107" t="s">
        <v>1068</v>
      </c>
      <c r="C246" s="71" t="s">
        <v>4708</v>
      </c>
      <c r="D246" s="71" t="s">
        <v>5016</v>
      </c>
      <c r="E246" s="108">
        <v>260714.02</v>
      </c>
      <c r="F246" s="109">
        <v>40004</v>
      </c>
      <c r="G246" s="109">
        <v>40170</v>
      </c>
      <c r="H246" s="109">
        <v>40008</v>
      </c>
      <c r="I246" s="109">
        <v>40009</v>
      </c>
      <c r="J246" s="71"/>
      <c r="K246" s="110"/>
    </row>
    <row r="247" spans="1:11">
      <c r="A247" s="71" t="s">
        <v>5017</v>
      </c>
      <c r="B247" s="107" t="s">
        <v>4549</v>
      </c>
      <c r="C247" s="71" t="s">
        <v>5018</v>
      </c>
      <c r="D247" s="71" t="s">
        <v>5019</v>
      </c>
      <c r="E247" s="108"/>
      <c r="F247" s="109">
        <v>39947</v>
      </c>
      <c r="G247" s="109"/>
      <c r="H247" s="109">
        <v>39968</v>
      </c>
      <c r="I247" s="109"/>
      <c r="J247" s="71"/>
      <c r="K247" s="110"/>
    </row>
    <row r="248" spans="1:11">
      <c r="A248" s="71" t="s">
        <v>5020</v>
      </c>
      <c r="B248" s="107" t="s">
        <v>2507</v>
      </c>
      <c r="C248" s="71" t="s">
        <v>1219</v>
      </c>
      <c r="D248" s="71" t="s">
        <v>5021</v>
      </c>
      <c r="E248" s="108">
        <v>473054.17</v>
      </c>
      <c r="F248" s="109">
        <v>39967</v>
      </c>
      <c r="G248" s="109"/>
      <c r="H248" s="109">
        <v>39988</v>
      </c>
      <c r="I248" s="109">
        <v>40008</v>
      </c>
      <c r="J248" s="71"/>
      <c r="K248" s="110"/>
    </row>
    <row r="249" spans="1:11">
      <c r="A249" s="71" t="s">
        <v>5022</v>
      </c>
      <c r="B249" s="107" t="s">
        <v>2516</v>
      </c>
      <c r="C249" s="71" t="s">
        <v>2515</v>
      </c>
      <c r="D249" s="71" t="s">
        <v>5023</v>
      </c>
      <c r="E249" s="108">
        <v>186868.7</v>
      </c>
      <c r="F249" s="109">
        <v>39945</v>
      </c>
      <c r="G249" s="109">
        <v>40038</v>
      </c>
      <c r="H249" s="109">
        <v>39952</v>
      </c>
      <c r="I249" s="109">
        <v>39960</v>
      </c>
      <c r="J249" s="71"/>
      <c r="K249" s="110"/>
    </row>
    <row r="250" spans="1:11">
      <c r="A250" s="71" t="s">
        <v>5024</v>
      </c>
      <c r="B250" s="107" t="s">
        <v>2506</v>
      </c>
      <c r="C250" s="71"/>
      <c r="D250" s="71" t="s">
        <v>5025</v>
      </c>
      <c r="E250" s="108">
        <v>125000</v>
      </c>
      <c r="F250" s="109">
        <v>39952</v>
      </c>
      <c r="G250" s="109"/>
      <c r="H250" s="109">
        <v>39973</v>
      </c>
      <c r="I250" s="109"/>
      <c r="J250" s="71"/>
      <c r="K250" s="110"/>
    </row>
    <row r="251" spans="1:11">
      <c r="A251" s="71" t="s">
        <v>1220</v>
      </c>
      <c r="B251" s="107" t="s">
        <v>1221</v>
      </c>
      <c r="C251" s="71" t="s">
        <v>1222</v>
      </c>
      <c r="D251" s="71" t="s">
        <v>1223</v>
      </c>
      <c r="E251" s="108">
        <v>190719.29</v>
      </c>
      <c r="F251" s="109">
        <v>39948</v>
      </c>
      <c r="G251" s="109"/>
      <c r="H251" s="109">
        <v>39975</v>
      </c>
      <c r="I251" s="109">
        <v>39983</v>
      </c>
      <c r="J251" s="71"/>
      <c r="K251" s="110"/>
    </row>
    <row r="252" spans="1:11" ht="22.5">
      <c r="A252" s="71" t="s">
        <v>5026</v>
      </c>
      <c r="B252" s="107" t="s">
        <v>2509</v>
      </c>
      <c r="C252" s="71" t="s">
        <v>5027</v>
      </c>
      <c r="D252" s="71" t="s">
        <v>5028</v>
      </c>
      <c r="E252" s="108">
        <v>99292</v>
      </c>
      <c r="F252" s="109">
        <v>39954</v>
      </c>
      <c r="G252" s="109"/>
      <c r="H252" s="109">
        <v>39960</v>
      </c>
      <c r="I252" s="109">
        <v>39961</v>
      </c>
      <c r="J252" s="71" t="s">
        <v>5029</v>
      </c>
      <c r="K252" s="110"/>
    </row>
    <row r="253" spans="1:11">
      <c r="A253" s="71" t="s">
        <v>1224</v>
      </c>
      <c r="B253" s="107" t="s">
        <v>1225</v>
      </c>
      <c r="C253" s="71" t="s">
        <v>1226</v>
      </c>
      <c r="D253" s="71" t="s">
        <v>1227</v>
      </c>
      <c r="E253" s="108">
        <v>446446</v>
      </c>
      <c r="F253" s="109">
        <v>39945</v>
      </c>
      <c r="G253" s="109"/>
      <c r="H253" s="109">
        <v>39953</v>
      </c>
      <c r="I253" s="109">
        <v>39968</v>
      </c>
      <c r="J253" s="71"/>
      <c r="K253" s="110"/>
    </row>
    <row r="254" spans="1:11">
      <c r="A254" s="71" t="s">
        <v>5030</v>
      </c>
      <c r="B254" s="107" t="s">
        <v>4549</v>
      </c>
      <c r="C254" s="71" t="s">
        <v>4711</v>
      </c>
      <c r="D254" s="71" t="s">
        <v>5031</v>
      </c>
      <c r="E254" s="108">
        <v>274954.59999999998</v>
      </c>
      <c r="F254" s="109">
        <v>39953</v>
      </c>
      <c r="G254" s="109"/>
      <c r="H254" s="109">
        <v>39968</v>
      </c>
      <c r="I254" s="109">
        <v>39976</v>
      </c>
      <c r="J254" s="71"/>
      <c r="K254" s="110"/>
    </row>
    <row r="255" spans="1:11">
      <c r="A255" s="71" t="s">
        <v>5032</v>
      </c>
      <c r="B255" s="107" t="s">
        <v>5033</v>
      </c>
      <c r="C255" s="71" t="s">
        <v>4988</v>
      </c>
      <c r="D255" s="71" t="s">
        <v>5034</v>
      </c>
      <c r="E255" s="108">
        <v>151502</v>
      </c>
      <c r="F255" s="109">
        <v>39951</v>
      </c>
      <c r="G255" s="109"/>
      <c r="H255" s="109">
        <v>39951</v>
      </c>
      <c r="I255" s="109">
        <v>39969</v>
      </c>
      <c r="J255" s="71"/>
      <c r="K255" s="110"/>
    </row>
    <row r="256" spans="1:11">
      <c r="A256" s="71" t="s">
        <v>5035</v>
      </c>
      <c r="B256" s="107" t="s">
        <v>2542</v>
      </c>
      <c r="C256" s="71" t="s">
        <v>1188</v>
      </c>
      <c r="D256" s="71" t="s">
        <v>5036</v>
      </c>
      <c r="E256" s="108">
        <v>160260</v>
      </c>
      <c r="F256" s="109">
        <v>39952</v>
      </c>
      <c r="G256" s="109">
        <v>40126</v>
      </c>
      <c r="H256" s="109">
        <v>39968</v>
      </c>
      <c r="I256" s="109">
        <v>39972</v>
      </c>
      <c r="J256" s="71"/>
      <c r="K256" s="110"/>
    </row>
    <row r="257" spans="1:11">
      <c r="A257" s="71" t="s">
        <v>1228</v>
      </c>
      <c r="B257" s="107" t="s">
        <v>2524</v>
      </c>
      <c r="C257" s="71" t="s">
        <v>1229</v>
      </c>
      <c r="D257" s="71" t="s">
        <v>1230</v>
      </c>
      <c r="E257" s="108">
        <v>106864</v>
      </c>
      <c r="F257" s="109">
        <v>39954</v>
      </c>
      <c r="G257" s="109"/>
      <c r="H257" s="109">
        <v>39979</v>
      </c>
      <c r="I257" s="109">
        <v>39980</v>
      </c>
      <c r="J257" s="71"/>
      <c r="K257" s="110"/>
    </row>
    <row r="258" spans="1:11">
      <c r="A258" s="71" t="s">
        <v>1231</v>
      </c>
      <c r="B258" s="107" t="s">
        <v>1221</v>
      </c>
      <c r="C258" s="71" t="s">
        <v>1080</v>
      </c>
      <c r="D258" s="71" t="s">
        <v>1232</v>
      </c>
      <c r="E258" s="108">
        <v>990000</v>
      </c>
      <c r="F258" s="109">
        <v>39967</v>
      </c>
      <c r="G258" s="109"/>
      <c r="H258" s="109">
        <v>39973</v>
      </c>
      <c r="I258" s="109">
        <v>39980</v>
      </c>
      <c r="J258" s="71"/>
      <c r="K258" s="110"/>
    </row>
    <row r="259" spans="1:11">
      <c r="A259" s="71" t="s">
        <v>1233</v>
      </c>
      <c r="B259" s="107" t="s">
        <v>1221</v>
      </c>
      <c r="C259" s="71" t="s">
        <v>1234</v>
      </c>
      <c r="D259" s="71" t="s">
        <v>1235</v>
      </c>
      <c r="E259" s="108">
        <v>20657000</v>
      </c>
      <c r="F259" s="109">
        <v>39983</v>
      </c>
      <c r="G259" s="109"/>
      <c r="H259" s="109">
        <v>39987</v>
      </c>
      <c r="I259" s="109">
        <v>40076</v>
      </c>
      <c r="J259" s="71"/>
      <c r="K259" s="110"/>
    </row>
    <row r="260" spans="1:11">
      <c r="A260" s="71" t="s">
        <v>5037</v>
      </c>
      <c r="B260" s="107" t="s">
        <v>2538</v>
      </c>
      <c r="C260" s="71" t="s">
        <v>2515</v>
      </c>
      <c r="D260" s="71" t="s">
        <v>5038</v>
      </c>
      <c r="E260" s="108">
        <v>1132000</v>
      </c>
      <c r="F260" s="109">
        <v>40016</v>
      </c>
      <c r="G260" s="109"/>
      <c r="H260" s="109">
        <v>40017</v>
      </c>
      <c r="I260" s="109">
        <v>40017</v>
      </c>
      <c r="J260" s="71"/>
      <c r="K260" s="110"/>
    </row>
    <row r="261" spans="1:11">
      <c r="A261" s="71" t="s">
        <v>5039</v>
      </c>
      <c r="B261" s="107" t="s">
        <v>1068</v>
      </c>
      <c r="C261" s="71" t="s">
        <v>2532</v>
      </c>
      <c r="D261" s="71" t="s">
        <v>5040</v>
      </c>
      <c r="E261" s="108">
        <v>274274</v>
      </c>
      <c r="F261" s="109">
        <v>40004</v>
      </c>
      <c r="G261" s="109">
        <v>40127</v>
      </c>
      <c r="H261" s="109">
        <v>40008</v>
      </c>
      <c r="I261" s="109">
        <v>40009</v>
      </c>
      <c r="J261" s="71"/>
      <c r="K261" s="110"/>
    </row>
    <row r="262" spans="1:11">
      <c r="A262" s="71" t="s">
        <v>5041</v>
      </c>
      <c r="B262" s="107" t="s">
        <v>2543</v>
      </c>
      <c r="C262" s="71" t="s">
        <v>4754</v>
      </c>
      <c r="D262" s="71" t="s">
        <v>5042</v>
      </c>
      <c r="E262" s="108">
        <v>214266.62</v>
      </c>
      <c r="F262" s="109">
        <v>39952</v>
      </c>
      <c r="G262" s="109">
        <v>40247</v>
      </c>
      <c r="H262" s="109">
        <v>39972</v>
      </c>
      <c r="I262" s="109">
        <v>39975</v>
      </c>
      <c r="J262" s="71"/>
      <c r="K262" s="110"/>
    </row>
    <row r="263" spans="1:11">
      <c r="A263" s="71" t="s">
        <v>1236</v>
      </c>
      <c r="B263" s="107" t="s">
        <v>1221</v>
      </c>
      <c r="C263" s="71" t="s">
        <v>2515</v>
      </c>
      <c r="D263" s="71" t="s">
        <v>1237</v>
      </c>
      <c r="E263" s="108">
        <v>510004.08</v>
      </c>
      <c r="F263" s="109">
        <v>39948</v>
      </c>
      <c r="G263" s="109">
        <v>40151</v>
      </c>
      <c r="H263" s="109">
        <v>39975</v>
      </c>
      <c r="I263" s="109">
        <v>39983</v>
      </c>
      <c r="J263" s="71"/>
      <c r="K263" s="110"/>
    </row>
    <row r="264" spans="1:11">
      <c r="A264" s="71" t="s">
        <v>5043</v>
      </c>
      <c r="B264" s="107" t="s">
        <v>5044</v>
      </c>
      <c r="C264" s="71" t="s">
        <v>5045</v>
      </c>
      <c r="D264" s="71" t="s">
        <v>5046</v>
      </c>
      <c r="E264" s="108">
        <v>360800</v>
      </c>
      <c r="F264" s="109">
        <v>39974</v>
      </c>
      <c r="G264" s="109"/>
      <c r="H264" s="109">
        <v>40017</v>
      </c>
      <c r="I264" s="109">
        <v>40038</v>
      </c>
      <c r="J264" s="71"/>
      <c r="K264" s="110"/>
    </row>
    <row r="265" spans="1:11">
      <c r="A265" s="71" t="s">
        <v>5047</v>
      </c>
      <c r="B265" s="107" t="s">
        <v>5048</v>
      </c>
      <c r="C265" s="71" t="s">
        <v>5049</v>
      </c>
      <c r="D265" s="71" t="s">
        <v>4997</v>
      </c>
      <c r="E265" s="108">
        <v>199003</v>
      </c>
      <c r="F265" s="109">
        <v>39952</v>
      </c>
      <c r="G265" s="109"/>
      <c r="H265" s="109">
        <v>39979</v>
      </c>
      <c r="I265" s="109">
        <v>39980</v>
      </c>
      <c r="J265" s="71"/>
      <c r="K265" s="110"/>
    </row>
    <row r="266" spans="1:11">
      <c r="A266" s="71" t="s">
        <v>5050</v>
      </c>
      <c r="B266" s="107" t="s">
        <v>2543</v>
      </c>
      <c r="C266" s="71" t="s">
        <v>5051</v>
      </c>
      <c r="D266" s="71" t="s">
        <v>5052</v>
      </c>
      <c r="E266" s="108">
        <v>182620</v>
      </c>
      <c r="F266" s="109">
        <v>39954</v>
      </c>
      <c r="G266" s="109">
        <v>40281</v>
      </c>
      <c r="H266" s="109">
        <v>39986</v>
      </c>
      <c r="I266" s="109">
        <v>39988</v>
      </c>
      <c r="J266" s="71"/>
      <c r="K266" s="110"/>
    </row>
    <row r="267" spans="1:11">
      <c r="A267" s="71" t="s">
        <v>5053</v>
      </c>
      <c r="B267" s="107" t="s">
        <v>2542</v>
      </c>
      <c r="C267" s="71" t="s">
        <v>5054</v>
      </c>
      <c r="D267" s="71" t="s">
        <v>5055</v>
      </c>
      <c r="E267" s="108">
        <v>255504.73</v>
      </c>
      <c r="F267" s="109">
        <v>39954</v>
      </c>
      <c r="G267" s="109"/>
      <c r="H267" s="109">
        <v>39974</v>
      </c>
      <c r="I267" s="109">
        <v>39975</v>
      </c>
      <c r="J267" s="71"/>
      <c r="K267" s="110"/>
    </row>
    <row r="268" spans="1:11" ht="22.5">
      <c r="A268" s="71" t="s">
        <v>5056</v>
      </c>
      <c r="B268" s="107" t="s">
        <v>2543</v>
      </c>
      <c r="C268" s="71" t="s">
        <v>5057</v>
      </c>
      <c r="D268" s="71" t="s">
        <v>5058</v>
      </c>
      <c r="E268" s="108">
        <v>48744</v>
      </c>
      <c r="F268" s="109">
        <v>39946</v>
      </c>
      <c r="G268" s="109">
        <v>40231</v>
      </c>
      <c r="H268" s="109">
        <v>39959</v>
      </c>
      <c r="I268" s="109"/>
      <c r="J268" s="71"/>
      <c r="K268" s="110"/>
    </row>
    <row r="269" spans="1:11" ht="22.5">
      <c r="A269" s="71" t="s">
        <v>1238</v>
      </c>
      <c r="B269" s="107" t="s">
        <v>2524</v>
      </c>
      <c r="C269" s="71" t="s">
        <v>1239</v>
      </c>
      <c r="D269" s="71" t="s">
        <v>1240</v>
      </c>
      <c r="E269" s="108">
        <v>116318</v>
      </c>
      <c r="F269" s="109">
        <v>39934</v>
      </c>
      <c r="G269" s="109">
        <v>40112</v>
      </c>
      <c r="H269" s="109">
        <v>39944</v>
      </c>
      <c r="I269" s="109">
        <v>39952</v>
      </c>
      <c r="J269" s="71"/>
      <c r="K269" s="110"/>
    </row>
    <row r="270" spans="1:11">
      <c r="A270" s="71" t="s">
        <v>5059</v>
      </c>
      <c r="B270" s="107" t="s">
        <v>2538</v>
      </c>
      <c r="C270" s="71"/>
      <c r="D270" s="71" t="s">
        <v>5060</v>
      </c>
      <c r="E270" s="108">
        <v>2472881</v>
      </c>
      <c r="F270" s="109">
        <v>40024</v>
      </c>
      <c r="G270" s="109"/>
      <c r="H270" s="109">
        <v>40025</v>
      </c>
      <c r="I270" s="109"/>
      <c r="J270" s="71"/>
      <c r="K270" s="110"/>
    </row>
    <row r="271" spans="1:11">
      <c r="A271" s="71" t="s">
        <v>1241</v>
      </c>
      <c r="B271" s="107" t="s">
        <v>1054</v>
      </c>
      <c r="C271" s="71" t="s">
        <v>1242</v>
      </c>
      <c r="D271" s="71" t="s">
        <v>1243</v>
      </c>
      <c r="E271" s="108"/>
      <c r="F271" s="109">
        <v>39996</v>
      </c>
      <c r="G271" s="109"/>
      <c r="H271" s="109">
        <v>40008</v>
      </c>
      <c r="I271" s="109"/>
      <c r="J271" s="71"/>
      <c r="K271" s="110"/>
    </row>
    <row r="272" spans="1:11">
      <c r="A272" s="71" t="s">
        <v>5061</v>
      </c>
      <c r="B272" s="107" t="s">
        <v>2504</v>
      </c>
      <c r="C272" s="71" t="s">
        <v>2532</v>
      </c>
      <c r="D272" s="71" t="s">
        <v>5062</v>
      </c>
      <c r="E272" s="108">
        <v>519275.73</v>
      </c>
      <c r="F272" s="109">
        <v>39967</v>
      </c>
      <c r="G272" s="109">
        <v>40287</v>
      </c>
      <c r="H272" s="109">
        <v>39995</v>
      </c>
      <c r="I272" s="109">
        <v>40010</v>
      </c>
      <c r="J272" s="71"/>
      <c r="K272" s="110"/>
    </row>
    <row r="273" spans="1:11">
      <c r="A273" s="71" t="s">
        <v>5063</v>
      </c>
      <c r="B273" s="107" t="s">
        <v>2543</v>
      </c>
      <c r="C273" s="71" t="s">
        <v>4754</v>
      </c>
      <c r="D273" s="71" t="s">
        <v>5064</v>
      </c>
      <c r="E273" s="108">
        <v>369900.96</v>
      </c>
      <c r="F273" s="109">
        <v>39955</v>
      </c>
      <c r="G273" s="109">
        <v>40224</v>
      </c>
      <c r="H273" s="109">
        <v>39986</v>
      </c>
      <c r="I273" s="109">
        <v>39988</v>
      </c>
      <c r="J273" s="71"/>
      <c r="K273" s="110"/>
    </row>
    <row r="274" spans="1:11">
      <c r="A274" s="71" t="s">
        <v>1244</v>
      </c>
      <c r="B274" s="107" t="s">
        <v>2520</v>
      </c>
      <c r="C274" s="71" t="s">
        <v>1168</v>
      </c>
      <c r="D274" s="71" t="s">
        <v>1245</v>
      </c>
      <c r="E274" s="108">
        <v>596099.02</v>
      </c>
      <c r="F274" s="109">
        <v>39966</v>
      </c>
      <c r="G274" s="109">
        <v>40254</v>
      </c>
      <c r="H274" s="109">
        <v>39973</v>
      </c>
      <c r="I274" s="109"/>
      <c r="J274" s="71"/>
      <c r="K274" s="110"/>
    </row>
    <row r="275" spans="1:11">
      <c r="A275" s="71" t="s">
        <v>1246</v>
      </c>
      <c r="B275" s="107" t="s">
        <v>1247</v>
      </c>
      <c r="C275" s="71" t="s">
        <v>1212</v>
      </c>
      <c r="D275" s="71" t="s">
        <v>1248</v>
      </c>
      <c r="E275" s="108">
        <v>260000</v>
      </c>
      <c r="F275" s="109">
        <v>39955</v>
      </c>
      <c r="G275" s="109"/>
      <c r="H275" s="109">
        <v>39962</v>
      </c>
      <c r="I275" s="109"/>
      <c r="J275" s="71"/>
      <c r="K275" s="110"/>
    </row>
    <row r="276" spans="1:11">
      <c r="A276" s="71" t="s">
        <v>1246</v>
      </c>
      <c r="B276" s="107"/>
      <c r="C276" s="71" t="s">
        <v>1249</v>
      </c>
      <c r="D276" s="71"/>
      <c r="E276" s="108">
        <v>119900</v>
      </c>
      <c r="F276" s="109">
        <v>39967</v>
      </c>
      <c r="G276" s="109"/>
      <c r="H276" s="109">
        <v>39969</v>
      </c>
      <c r="I276" s="109">
        <v>39969</v>
      </c>
      <c r="J276" s="71"/>
      <c r="K276" s="110"/>
    </row>
    <row r="277" spans="1:11">
      <c r="A277" s="71" t="s">
        <v>1250</v>
      </c>
      <c r="B277" s="107"/>
      <c r="C277" s="71" t="s">
        <v>1251</v>
      </c>
      <c r="D277" s="71"/>
      <c r="E277" s="108">
        <v>9844</v>
      </c>
      <c r="F277" s="109">
        <v>39967</v>
      </c>
      <c r="G277" s="109"/>
      <c r="H277" s="109">
        <v>39969</v>
      </c>
      <c r="I277" s="109">
        <v>39969</v>
      </c>
      <c r="J277" s="71"/>
      <c r="K277" s="110"/>
    </row>
    <row r="278" spans="1:11">
      <c r="A278" s="71" t="s">
        <v>1246</v>
      </c>
      <c r="B278" s="107"/>
      <c r="C278" s="71" t="s">
        <v>1252</v>
      </c>
      <c r="D278" s="71"/>
      <c r="E278" s="108">
        <v>6414</v>
      </c>
      <c r="F278" s="109">
        <v>39967</v>
      </c>
      <c r="G278" s="109"/>
      <c r="H278" s="109">
        <v>39979</v>
      </c>
      <c r="I278" s="109">
        <v>39979</v>
      </c>
      <c r="J278" s="71"/>
      <c r="K278" s="110"/>
    </row>
    <row r="279" spans="1:11">
      <c r="A279" s="71" t="s">
        <v>1246</v>
      </c>
      <c r="B279" s="107"/>
      <c r="C279" s="71" t="s">
        <v>1253</v>
      </c>
      <c r="D279" s="71"/>
      <c r="E279" s="108">
        <v>12254</v>
      </c>
      <c r="F279" s="109">
        <v>40059</v>
      </c>
      <c r="G279" s="109"/>
      <c r="H279" s="109">
        <v>39979</v>
      </c>
      <c r="I279" s="109">
        <v>39979</v>
      </c>
      <c r="J279" s="71"/>
      <c r="K279" s="110"/>
    </row>
    <row r="280" spans="1:11">
      <c r="A280" s="71" t="s">
        <v>1246</v>
      </c>
      <c r="B280" s="107"/>
      <c r="C280" s="71" t="s">
        <v>1254</v>
      </c>
      <c r="D280" s="71"/>
      <c r="E280" s="108">
        <v>8000</v>
      </c>
      <c r="F280" s="109">
        <v>39975</v>
      </c>
      <c r="G280" s="109"/>
      <c r="H280" s="109">
        <v>39979</v>
      </c>
      <c r="I280" s="109">
        <v>39979</v>
      </c>
      <c r="J280" s="71"/>
      <c r="K280" s="110"/>
    </row>
    <row r="281" spans="1:11">
      <c r="A281" s="71" t="s">
        <v>1246</v>
      </c>
      <c r="B281" s="107"/>
      <c r="C281" s="71" t="s">
        <v>1255</v>
      </c>
      <c r="D281" s="71"/>
      <c r="E281" s="108">
        <v>10561</v>
      </c>
      <c r="F281" s="109">
        <v>39975</v>
      </c>
      <c r="G281" s="109"/>
      <c r="H281" s="109">
        <v>39979</v>
      </c>
      <c r="I281" s="109">
        <v>39979</v>
      </c>
      <c r="J281" s="71"/>
      <c r="K281" s="110"/>
    </row>
    <row r="282" spans="1:11">
      <c r="A282" s="71" t="s">
        <v>1246</v>
      </c>
      <c r="B282" s="107"/>
      <c r="C282" s="71" t="s">
        <v>1256</v>
      </c>
      <c r="D282" s="71"/>
      <c r="E282" s="108">
        <v>3386</v>
      </c>
      <c r="F282" s="109">
        <v>39975</v>
      </c>
      <c r="G282" s="109"/>
      <c r="H282" s="109">
        <v>39979</v>
      </c>
      <c r="I282" s="109">
        <v>39979</v>
      </c>
      <c r="J282" s="71"/>
      <c r="K282" s="110"/>
    </row>
    <row r="283" spans="1:11">
      <c r="A283" s="71" t="s">
        <v>5065</v>
      </c>
      <c r="B283" s="107" t="s">
        <v>1210</v>
      </c>
      <c r="C283" s="71"/>
      <c r="D283" s="71" t="s">
        <v>5066</v>
      </c>
      <c r="E283" s="108">
        <v>150000</v>
      </c>
      <c r="F283" s="109">
        <v>39979</v>
      </c>
      <c r="G283" s="109"/>
      <c r="H283" s="109">
        <v>40009</v>
      </c>
      <c r="I283" s="109"/>
      <c r="J283" s="71"/>
      <c r="K283" s="110"/>
    </row>
    <row r="284" spans="1:11">
      <c r="A284" s="71" t="s">
        <v>5067</v>
      </c>
      <c r="B284" s="107" t="s">
        <v>5068</v>
      </c>
      <c r="C284" s="71" t="s">
        <v>1257</v>
      </c>
      <c r="D284" s="71" t="s">
        <v>5069</v>
      </c>
      <c r="E284" s="108">
        <v>387175</v>
      </c>
      <c r="F284" s="109">
        <v>39967</v>
      </c>
      <c r="G284" s="109"/>
      <c r="H284" s="109">
        <v>39981</v>
      </c>
      <c r="I284" s="109">
        <v>40051</v>
      </c>
      <c r="J284" s="71"/>
      <c r="K284" s="110" t="s">
        <v>2877</v>
      </c>
    </row>
    <row r="285" spans="1:11">
      <c r="A285" s="71" t="s">
        <v>5070</v>
      </c>
      <c r="B285" s="107" t="s">
        <v>2543</v>
      </c>
      <c r="C285" s="71" t="s">
        <v>2530</v>
      </c>
      <c r="D285" s="71" t="s">
        <v>5071</v>
      </c>
      <c r="E285" s="108">
        <v>152450</v>
      </c>
      <c r="F285" s="109">
        <v>39959</v>
      </c>
      <c r="G285" s="109">
        <v>40137</v>
      </c>
      <c r="H285" s="109">
        <v>39986</v>
      </c>
      <c r="I285" s="109">
        <v>39988</v>
      </c>
      <c r="J285" s="71"/>
      <c r="K285" s="110"/>
    </row>
    <row r="286" spans="1:11">
      <c r="A286" s="71" t="s">
        <v>5072</v>
      </c>
      <c r="B286" s="107" t="s">
        <v>2543</v>
      </c>
      <c r="C286" s="71" t="s">
        <v>1126</v>
      </c>
      <c r="D286" s="71" t="s">
        <v>5073</v>
      </c>
      <c r="E286" s="108">
        <v>428800</v>
      </c>
      <c r="F286" s="109">
        <v>39960</v>
      </c>
      <c r="G286" s="109"/>
      <c r="H286" s="109">
        <v>39986</v>
      </c>
      <c r="I286" s="109">
        <v>39988</v>
      </c>
      <c r="J286" s="71"/>
      <c r="K286" s="110"/>
    </row>
    <row r="287" spans="1:11">
      <c r="A287" s="71" t="s">
        <v>5074</v>
      </c>
      <c r="B287" s="107" t="s">
        <v>4595</v>
      </c>
      <c r="C287" s="71" t="s">
        <v>2515</v>
      </c>
      <c r="D287" s="71" t="s">
        <v>5075</v>
      </c>
      <c r="E287" s="108">
        <v>261494.39999999999</v>
      </c>
      <c r="F287" s="109">
        <v>39960</v>
      </c>
      <c r="G287" s="109"/>
      <c r="H287" s="109">
        <v>39974</v>
      </c>
      <c r="I287" s="109">
        <v>40079</v>
      </c>
      <c r="J287" s="71"/>
      <c r="K287" s="110"/>
    </row>
    <row r="288" spans="1:11">
      <c r="A288" s="71" t="s">
        <v>5076</v>
      </c>
      <c r="B288" s="107" t="s">
        <v>5077</v>
      </c>
      <c r="C288" s="71" t="s">
        <v>2513</v>
      </c>
      <c r="D288" s="71" t="s">
        <v>5078</v>
      </c>
      <c r="E288" s="108">
        <v>196196</v>
      </c>
      <c r="F288" s="109">
        <v>39960</v>
      </c>
      <c r="G288" s="109"/>
      <c r="H288" s="109">
        <v>39974</v>
      </c>
      <c r="I288" s="109">
        <v>40079</v>
      </c>
      <c r="J288" s="71"/>
      <c r="K288" s="110"/>
    </row>
    <row r="289" spans="1:11">
      <c r="A289" s="71" t="s">
        <v>5079</v>
      </c>
      <c r="B289" s="107" t="s">
        <v>2509</v>
      </c>
      <c r="C289" s="71" t="s">
        <v>4631</v>
      </c>
      <c r="D289" s="71" t="s">
        <v>5080</v>
      </c>
      <c r="E289" s="108">
        <v>196482</v>
      </c>
      <c r="F289" s="109">
        <v>39975</v>
      </c>
      <c r="G289" s="109"/>
      <c r="H289" s="109">
        <v>39979</v>
      </c>
      <c r="I289" s="109">
        <v>39980</v>
      </c>
      <c r="J289" s="71"/>
      <c r="K289" s="110"/>
    </row>
    <row r="290" spans="1:11">
      <c r="A290" s="71" t="s">
        <v>5081</v>
      </c>
      <c r="B290" s="107" t="s">
        <v>2543</v>
      </c>
      <c r="C290" s="71" t="s">
        <v>1057</v>
      </c>
      <c r="D290" s="71" t="s">
        <v>5082</v>
      </c>
      <c r="E290" s="108">
        <v>153139</v>
      </c>
      <c r="F290" s="109">
        <v>39967</v>
      </c>
      <c r="G290" s="109">
        <v>40231</v>
      </c>
      <c r="H290" s="109">
        <v>39986</v>
      </c>
      <c r="I290" s="109">
        <v>39988</v>
      </c>
      <c r="J290" s="71"/>
      <c r="K290" s="110"/>
    </row>
    <row r="291" spans="1:11" ht="22.5">
      <c r="A291" s="71" t="s">
        <v>5083</v>
      </c>
      <c r="B291" s="107" t="s">
        <v>2509</v>
      </c>
      <c r="C291" s="71" t="s">
        <v>5084</v>
      </c>
      <c r="D291" s="71" t="s">
        <v>5085</v>
      </c>
      <c r="E291" s="108">
        <v>97050</v>
      </c>
      <c r="F291" s="109">
        <v>39968</v>
      </c>
      <c r="G291" s="109">
        <v>40235</v>
      </c>
      <c r="H291" s="109">
        <v>39979</v>
      </c>
      <c r="I291" s="109">
        <v>39979</v>
      </c>
      <c r="J291" s="71" t="s">
        <v>2518</v>
      </c>
      <c r="K291" s="110"/>
    </row>
    <row r="292" spans="1:11" ht="22.5">
      <c r="A292" s="71" t="s">
        <v>5086</v>
      </c>
      <c r="B292" s="107" t="s">
        <v>2506</v>
      </c>
      <c r="C292" s="71" t="s">
        <v>5087</v>
      </c>
      <c r="D292" s="71" t="s">
        <v>5088</v>
      </c>
      <c r="E292" s="108">
        <v>79900</v>
      </c>
      <c r="F292" s="109">
        <v>40017</v>
      </c>
      <c r="G292" s="109"/>
      <c r="H292" s="109">
        <v>40037</v>
      </c>
      <c r="I292" s="109">
        <v>40043</v>
      </c>
      <c r="J292" s="71" t="s">
        <v>2518</v>
      </c>
      <c r="K292" s="110"/>
    </row>
    <row r="293" spans="1:11">
      <c r="A293" s="71" t="s">
        <v>5089</v>
      </c>
      <c r="B293" s="107" t="s">
        <v>5090</v>
      </c>
      <c r="C293" s="71" t="s">
        <v>5091</v>
      </c>
      <c r="D293" s="71" t="s">
        <v>5092</v>
      </c>
      <c r="E293" s="108">
        <v>575250</v>
      </c>
      <c r="F293" s="109">
        <v>40031</v>
      </c>
      <c r="G293" s="109"/>
      <c r="H293" s="109">
        <v>40045</v>
      </c>
      <c r="I293" s="109">
        <v>40077</v>
      </c>
      <c r="J293" s="71"/>
      <c r="K293" s="110"/>
    </row>
    <row r="294" spans="1:11">
      <c r="A294" s="71" t="s">
        <v>5093</v>
      </c>
      <c r="B294" s="107" t="s">
        <v>5094</v>
      </c>
      <c r="C294" s="71" t="s">
        <v>2513</v>
      </c>
      <c r="D294" s="71" t="s">
        <v>5095</v>
      </c>
      <c r="E294" s="108">
        <v>1856875</v>
      </c>
      <c r="F294" s="109">
        <v>39994</v>
      </c>
      <c r="G294" s="109">
        <v>40170</v>
      </c>
      <c r="H294" s="109">
        <v>39996</v>
      </c>
      <c r="I294" s="109">
        <v>40004</v>
      </c>
      <c r="J294" s="71"/>
      <c r="K294" s="110"/>
    </row>
    <row r="295" spans="1:11">
      <c r="A295" s="71" t="s">
        <v>5096</v>
      </c>
      <c r="B295" s="107" t="s">
        <v>5097</v>
      </c>
      <c r="C295" s="71" t="s">
        <v>5098</v>
      </c>
      <c r="D295" s="71" t="s">
        <v>5099</v>
      </c>
      <c r="E295" s="108">
        <v>342401.92</v>
      </c>
      <c r="F295" s="109">
        <v>40010</v>
      </c>
      <c r="G295" s="109"/>
      <c r="H295" s="109">
        <v>40028</v>
      </c>
      <c r="I295" s="109">
        <v>40079</v>
      </c>
      <c r="J295" s="71"/>
      <c r="K295" s="110"/>
    </row>
    <row r="296" spans="1:11">
      <c r="A296" s="71" t="s">
        <v>5100</v>
      </c>
      <c r="B296" s="107" t="s">
        <v>5101</v>
      </c>
      <c r="C296" s="71" t="s">
        <v>5102</v>
      </c>
      <c r="D296" s="71" t="s">
        <v>5103</v>
      </c>
      <c r="E296" s="108">
        <v>433133.5</v>
      </c>
      <c r="F296" s="109">
        <v>39987</v>
      </c>
      <c r="G296" s="109"/>
      <c r="H296" s="109">
        <v>39994</v>
      </c>
      <c r="I296" s="109">
        <v>40002</v>
      </c>
      <c r="J296" s="71"/>
      <c r="K296" s="110"/>
    </row>
    <row r="297" spans="1:11">
      <c r="A297" s="71" t="s">
        <v>1258</v>
      </c>
      <c r="B297" s="107" t="s">
        <v>2520</v>
      </c>
      <c r="C297" s="71" t="s">
        <v>1080</v>
      </c>
      <c r="D297" s="71" t="s">
        <v>1259</v>
      </c>
      <c r="E297" s="108">
        <v>803000</v>
      </c>
      <c r="F297" s="109">
        <v>40079</v>
      </c>
      <c r="G297" s="109"/>
      <c r="H297" s="109">
        <v>40088</v>
      </c>
      <c r="I297" s="109">
        <v>40088</v>
      </c>
      <c r="J297" s="71"/>
      <c r="K297" s="110"/>
    </row>
    <row r="298" spans="1:11">
      <c r="A298" s="71" t="s">
        <v>5104</v>
      </c>
      <c r="B298" s="107" t="s">
        <v>4549</v>
      </c>
      <c r="C298" s="71" t="s">
        <v>5105</v>
      </c>
      <c r="D298" s="71" t="s">
        <v>5106</v>
      </c>
      <c r="E298" s="108">
        <v>597180</v>
      </c>
      <c r="F298" s="109">
        <v>39994</v>
      </c>
      <c r="G298" s="109"/>
      <c r="H298" s="109">
        <v>40010</v>
      </c>
      <c r="I298" s="109">
        <v>40011</v>
      </c>
      <c r="J298" s="71"/>
      <c r="K298" s="110"/>
    </row>
    <row r="299" spans="1:11" ht="22.5">
      <c r="A299" s="71" t="s">
        <v>5107</v>
      </c>
      <c r="B299" s="107" t="s">
        <v>2542</v>
      </c>
      <c r="C299" s="71" t="s">
        <v>5108</v>
      </c>
      <c r="D299" s="71" t="s">
        <v>5109</v>
      </c>
      <c r="E299" s="108">
        <v>84821.7</v>
      </c>
      <c r="F299" s="109">
        <v>39967</v>
      </c>
      <c r="G299" s="109"/>
      <c r="H299" s="109">
        <v>39974</v>
      </c>
      <c r="I299" s="109">
        <v>39975</v>
      </c>
      <c r="J299" s="71" t="s">
        <v>2518</v>
      </c>
      <c r="K299" s="110"/>
    </row>
    <row r="300" spans="1:11" ht="22.5">
      <c r="A300" s="71" t="s">
        <v>5110</v>
      </c>
      <c r="B300" s="107" t="s">
        <v>2542</v>
      </c>
      <c r="C300" s="71" t="s">
        <v>5108</v>
      </c>
      <c r="D300" s="71" t="s">
        <v>5111</v>
      </c>
      <c r="E300" s="108">
        <v>120407</v>
      </c>
      <c r="F300" s="109">
        <v>39967</v>
      </c>
      <c r="G300" s="109"/>
      <c r="H300" s="109">
        <v>39974</v>
      </c>
      <c r="I300" s="109">
        <v>39975</v>
      </c>
      <c r="J300" s="71"/>
      <c r="K300" s="110"/>
    </row>
    <row r="301" spans="1:11">
      <c r="A301" s="71" t="s">
        <v>5112</v>
      </c>
      <c r="B301" s="107" t="s">
        <v>5004</v>
      </c>
      <c r="C301" s="71" t="s">
        <v>5113</v>
      </c>
      <c r="D301" s="71" t="s">
        <v>5114</v>
      </c>
      <c r="E301" s="108">
        <v>213500</v>
      </c>
      <c r="F301" s="109">
        <v>39982</v>
      </c>
      <c r="G301" s="109"/>
      <c r="H301" s="109">
        <v>39988</v>
      </c>
      <c r="I301" s="109">
        <v>40091</v>
      </c>
      <c r="J301" s="71"/>
      <c r="K301" s="110"/>
    </row>
    <row r="302" spans="1:11">
      <c r="A302" s="71" t="s">
        <v>1260</v>
      </c>
      <c r="B302" s="107" t="s">
        <v>1054</v>
      </c>
      <c r="C302" s="71" t="s">
        <v>1209</v>
      </c>
      <c r="D302" s="71" t="s">
        <v>1261</v>
      </c>
      <c r="E302" s="108">
        <v>246471.61</v>
      </c>
      <c r="F302" s="109">
        <v>39980</v>
      </c>
      <c r="G302" s="109">
        <v>40088</v>
      </c>
      <c r="H302" s="109">
        <v>39987</v>
      </c>
      <c r="I302" s="109">
        <v>39996</v>
      </c>
      <c r="J302" s="71"/>
      <c r="K302" s="110"/>
    </row>
    <row r="303" spans="1:11">
      <c r="A303" s="71" t="s">
        <v>5115</v>
      </c>
      <c r="B303" s="107" t="s">
        <v>2538</v>
      </c>
      <c r="C303" s="71" t="s">
        <v>2530</v>
      </c>
      <c r="D303" s="71" t="s">
        <v>5116</v>
      </c>
      <c r="E303" s="108">
        <v>920055.13</v>
      </c>
      <c r="F303" s="109">
        <v>40003</v>
      </c>
      <c r="G303" s="109">
        <v>40088</v>
      </c>
      <c r="H303" s="109">
        <v>40004</v>
      </c>
      <c r="I303" s="109">
        <v>40014</v>
      </c>
      <c r="J303" s="71"/>
      <c r="K303" s="110"/>
    </row>
    <row r="304" spans="1:11">
      <c r="A304" s="71" t="s">
        <v>5117</v>
      </c>
      <c r="B304" s="107" t="s">
        <v>2538</v>
      </c>
      <c r="C304" s="71" t="s">
        <v>2513</v>
      </c>
      <c r="D304" s="71" t="s">
        <v>5118</v>
      </c>
      <c r="E304" s="108">
        <v>633633</v>
      </c>
      <c r="F304" s="109">
        <v>40030</v>
      </c>
      <c r="G304" s="109"/>
      <c r="H304" s="109">
        <v>40031</v>
      </c>
      <c r="I304" s="109">
        <v>40043</v>
      </c>
      <c r="J304" s="71"/>
      <c r="K304" s="110"/>
    </row>
    <row r="305" spans="1:11">
      <c r="A305" s="71" t="s">
        <v>5119</v>
      </c>
      <c r="B305" s="107" t="s">
        <v>1262</v>
      </c>
      <c r="C305" s="71" t="s">
        <v>5120</v>
      </c>
      <c r="D305" s="71" t="s">
        <v>1263</v>
      </c>
      <c r="E305" s="108">
        <v>500000</v>
      </c>
      <c r="F305" s="109">
        <v>39995</v>
      </c>
      <c r="G305" s="109"/>
      <c r="H305" s="109">
        <v>40009</v>
      </c>
      <c r="I305" s="109"/>
      <c r="J305" s="71"/>
      <c r="K305" s="110"/>
    </row>
    <row r="306" spans="1:11">
      <c r="A306" s="71" t="s">
        <v>5121</v>
      </c>
      <c r="B306" s="107" t="s">
        <v>2538</v>
      </c>
      <c r="C306" s="71" t="s">
        <v>2515</v>
      </c>
      <c r="D306" s="71" t="s">
        <v>5122</v>
      </c>
      <c r="E306" s="108">
        <v>1889871.51</v>
      </c>
      <c r="F306" s="109">
        <v>40029</v>
      </c>
      <c r="G306" s="109">
        <v>40169</v>
      </c>
      <c r="H306" s="109">
        <v>40029</v>
      </c>
      <c r="I306" s="109">
        <v>40035</v>
      </c>
      <c r="J306" s="71"/>
      <c r="K306" s="110"/>
    </row>
    <row r="307" spans="1:11">
      <c r="A307" s="71" t="s">
        <v>5123</v>
      </c>
      <c r="B307" s="107" t="s">
        <v>5124</v>
      </c>
      <c r="C307" s="71" t="s">
        <v>5125</v>
      </c>
      <c r="D307" s="71" t="s">
        <v>5126</v>
      </c>
      <c r="E307" s="108">
        <v>250000</v>
      </c>
      <c r="F307" s="109">
        <v>40009</v>
      </c>
      <c r="G307" s="109"/>
      <c r="H307" s="109">
        <v>40043</v>
      </c>
      <c r="I307" s="109"/>
      <c r="J307" s="71"/>
      <c r="K307" s="110"/>
    </row>
    <row r="308" spans="1:11">
      <c r="A308" s="71" t="s">
        <v>1264</v>
      </c>
      <c r="B308" s="107" t="s">
        <v>2520</v>
      </c>
      <c r="C308" s="71" t="s">
        <v>1265</v>
      </c>
      <c r="D308" s="71" t="s">
        <v>1266</v>
      </c>
      <c r="E308" s="108">
        <v>7370400.4500000002</v>
      </c>
      <c r="F308" s="109">
        <v>39959</v>
      </c>
      <c r="G308" s="109">
        <v>40282</v>
      </c>
      <c r="H308" s="109">
        <v>39967</v>
      </c>
      <c r="I308" s="109">
        <v>39968</v>
      </c>
      <c r="J308" s="71"/>
      <c r="K308" s="110"/>
    </row>
    <row r="309" spans="1:11">
      <c r="A309" s="71" t="s">
        <v>5127</v>
      </c>
      <c r="B309" s="107" t="s">
        <v>2504</v>
      </c>
      <c r="C309" s="71" t="s">
        <v>2530</v>
      </c>
      <c r="D309" s="71" t="s">
        <v>5128</v>
      </c>
      <c r="E309" s="108">
        <v>1432737</v>
      </c>
      <c r="F309" s="109">
        <v>40039</v>
      </c>
      <c r="G309" s="109"/>
      <c r="H309" s="109">
        <v>40058</v>
      </c>
      <c r="I309" s="109">
        <v>40066</v>
      </c>
      <c r="J309" s="71"/>
      <c r="K309" s="110"/>
    </row>
    <row r="310" spans="1:11">
      <c r="A310" s="71" t="s">
        <v>5129</v>
      </c>
      <c r="B310" s="107" t="s">
        <v>2506</v>
      </c>
      <c r="C310" s="71" t="s">
        <v>2518</v>
      </c>
      <c r="D310" s="71" t="s">
        <v>5130</v>
      </c>
      <c r="E310" s="108"/>
      <c r="F310" s="109">
        <v>39982</v>
      </c>
      <c r="G310" s="109"/>
      <c r="H310" s="109">
        <v>40008</v>
      </c>
      <c r="I310" s="109"/>
      <c r="J310" s="71"/>
      <c r="K310" s="110"/>
    </row>
    <row r="311" spans="1:11">
      <c r="A311" s="71" t="s">
        <v>5131</v>
      </c>
      <c r="B311" s="107" t="s">
        <v>2506</v>
      </c>
      <c r="C311" s="71" t="s">
        <v>2518</v>
      </c>
      <c r="D311" s="71" t="s">
        <v>5132</v>
      </c>
      <c r="E311" s="108"/>
      <c r="F311" s="109">
        <v>39982</v>
      </c>
      <c r="G311" s="109"/>
      <c r="H311" s="109">
        <v>40008</v>
      </c>
      <c r="I311" s="109"/>
      <c r="J311" s="71"/>
      <c r="K311" s="110"/>
    </row>
    <row r="312" spans="1:11">
      <c r="A312" s="71" t="s">
        <v>5133</v>
      </c>
      <c r="B312" s="107" t="s">
        <v>2542</v>
      </c>
      <c r="C312" s="71" t="s">
        <v>4937</v>
      </c>
      <c r="D312" s="71" t="s">
        <v>5134</v>
      </c>
      <c r="E312" s="108">
        <v>750158.11</v>
      </c>
      <c r="F312" s="109">
        <v>39981</v>
      </c>
      <c r="G312" s="109">
        <v>40297</v>
      </c>
      <c r="H312" s="109">
        <v>39996</v>
      </c>
      <c r="I312" s="109">
        <v>40001</v>
      </c>
      <c r="J312" s="71"/>
      <c r="K312" s="110"/>
    </row>
    <row r="313" spans="1:11">
      <c r="A313" s="71" t="s">
        <v>5135</v>
      </c>
      <c r="B313" s="107" t="s">
        <v>1214</v>
      </c>
      <c r="C313" s="71" t="s">
        <v>5136</v>
      </c>
      <c r="D313" s="71" t="s">
        <v>5137</v>
      </c>
      <c r="E313" s="108">
        <v>97827</v>
      </c>
      <c r="F313" s="109">
        <v>39995</v>
      </c>
      <c r="G313" s="109"/>
      <c r="H313" s="109">
        <v>40002</v>
      </c>
      <c r="I313" s="109">
        <v>40112</v>
      </c>
      <c r="J313" s="71"/>
      <c r="K313" s="110"/>
    </row>
    <row r="314" spans="1:11">
      <c r="A314" s="71" t="s">
        <v>5138</v>
      </c>
      <c r="B314" s="107" t="s">
        <v>1267</v>
      </c>
      <c r="C314" s="71" t="s">
        <v>1268</v>
      </c>
      <c r="D314" s="71" t="s">
        <v>5139</v>
      </c>
      <c r="E314" s="108">
        <v>5535246</v>
      </c>
      <c r="F314" s="109">
        <v>39869</v>
      </c>
      <c r="G314" s="109"/>
      <c r="H314" s="109">
        <v>39932</v>
      </c>
      <c r="I314" s="109"/>
      <c r="J314" s="71"/>
      <c r="K314" s="110"/>
    </row>
    <row r="315" spans="1:11" ht="22.5">
      <c r="A315" s="71" t="s">
        <v>1269</v>
      </c>
      <c r="B315" s="107" t="s">
        <v>1221</v>
      </c>
      <c r="C315" s="71" t="s">
        <v>1270</v>
      </c>
      <c r="D315" s="71" t="s">
        <v>1271</v>
      </c>
      <c r="E315" s="108">
        <v>63611.12</v>
      </c>
      <c r="F315" s="109">
        <v>39979</v>
      </c>
      <c r="G315" s="109">
        <v>40134</v>
      </c>
      <c r="H315" s="109">
        <v>39988</v>
      </c>
      <c r="I315" s="109">
        <v>40002</v>
      </c>
      <c r="J315" s="71"/>
      <c r="K315" s="110"/>
    </row>
    <row r="316" spans="1:11">
      <c r="A316" s="71" t="s">
        <v>5140</v>
      </c>
      <c r="B316" s="107" t="s">
        <v>5141</v>
      </c>
      <c r="C316" s="71" t="s">
        <v>4988</v>
      </c>
      <c r="D316" s="71" t="s">
        <v>5142</v>
      </c>
      <c r="E316" s="108">
        <v>582.17999999999995</v>
      </c>
      <c r="F316" s="109">
        <v>40000</v>
      </c>
      <c r="G316" s="109"/>
      <c r="H316" s="109">
        <v>40014</v>
      </c>
      <c r="I316" s="109">
        <v>40193</v>
      </c>
      <c r="J316" s="71"/>
      <c r="K316" s="110"/>
    </row>
    <row r="317" spans="1:11">
      <c r="A317" s="71" t="s">
        <v>1272</v>
      </c>
      <c r="B317" s="107" t="s">
        <v>1221</v>
      </c>
      <c r="C317" s="71" t="s">
        <v>1273</v>
      </c>
      <c r="D317" s="71" t="s">
        <v>1274</v>
      </c>
      <c r="E317" s="108">
        <v>90922.71</v>
      </c>
      <c r="F317" s="109">
        <v>39979</v>
      </c>
      <c r="G317" s="109">
        <v>40115</v>
      </c>
      <c r="H317" s="109">
        <v>39988</v>
      </c>
      <c r="I317" s="109">
        <v>40002</v>
      </c>
      <c r="J317" s="71"/>
      <c r="K317" s="110"/>
    </row>
    <row r="318" spans="1:11">
      <c r="A318" s="71" t="s">
        <v>5143</v>
      </c>
      <c r="B318" s="107" t="s">
        <v>2538</v>
      </c>
      <c r="C318" s="71" t="s">
        <v>5144</v>
      </c>
      <c r="D318" s="71" t="s">
        <v>5145</v>
      </c>
      <c r="E318" s="108"/>
      <c r="F318" s="109">
        <v>40021</v>
      </c>
      <c r="G318" s="109"/>
      <c r="H318" s="109">
        <v>40028</v>
      </c>
      <c r="I318" s="109"/>
      <c r="J318" s="71"/>
      <c r="K318" s="110"/>
    </row>
    <row r="319" spans="1:11">
      <c r="A319" s="71" t="s">
        <v>5146</v>
      </c>
      <c r="B319" s="107" t="s">
        <v>2525</v>
      </c>
      <c r="C319" s="71" t="s">
        <v>5147</v>
      </c>
      <c r="D319" s="71" t="s">
        <v>5148</v>
      </c>
      <c r="E319" s="108">
        <v>252123.72</v>
      </c>
      <c r="F319" s="109">
        <v>39987</v>
      </c>
      <c r="G319" s="109"/>
      <c r="H319" s="109">
        <v>40031</v>
      </c>
      <c r="I319" s="109">
        <v>40074</v>
      </c>
      <c r="J319" s="71"/>
      <c r="K319" s="110"/>
    </row>
    <row r="320" spans="1:11" ht="22.5">
      <c r="A320" s="71" t="s">
        <v>5149</v>
      </c>
      <c r="B320" s="107" t="s">
        <v>2504</v>
      </c>
      <c r="C320" s="71" t="s">
        <v>2514</v>
      </c>
      <c r="D320" s="71" t="s">
        <v>5150</v>
      </c>
      <c r="E320" s="108">
        <v>162007</v>
      </c>
      <c r="F320" s="109">
        <v>39994</v>
      </c>
      <c r="G320" s="109">
        <v>40130</v>
      </c>
      <c r="H320" s="109">
        <v>40030</v>
      </c>
      <c r="I320" s="109">
        <v>40112</v>
      </c>
      <c r="J320" s="71"/>
      <c r="K320" s="110"/>
    </row>
    <row r="321" spans="1:11" ht="22.5">
      <c r="A321" s="71" t="s">
        <v>1275</v>
      </c>
      <c r="B321" s="107" t="s">
        <v>2524</v>
      </c>
      <c r="C321" s="71" t="s">
        <v>1276</v>
      </c>
      <c r="D321" s="71" t="s">
        <v>1277</v>
      </c>
      <c r="E321" s="108">
        <v>90077</v>
      </c>
      <c r="F321" s="109">
        <v>40014</v>
      </c>
      <c r="G321" s="109"/>
      <c r="H321" s="109">
        <v>39990</v>
      </c>
      <c r="I321" s="109">
        <v>40002</v>
      </c>
      <c r="J321" s="71"/>
      <c r="K321" s="110"/>
    </row>
    <row r="322" spans="1:11">
      <c r="A322" s="71" t="s">
        <v>5151</v>
      </c>
      <c r="B322" s="107" t="s">
        <v>2528</v>
      </c>
      <c r="C322" s="71" t="s">
        <v>5152</v>
      </c>
      <c r="D322" s="71" t="s">
        <v>5153</v>
      </c>
      <c r="E322" s="108">
        <v>163300</v>
      </c>
      <c r="F322" s="109">
        <v>40001</v>
      </c>
      <c r="G322" s="109"/>
      <c r="H322" s="109">
        <v>40009</v>
      </c>
      <c r="I322" s="109">
        <v>40112</v>
      </c>
      <c r="J322" s="71"/>
      <c r="K322" s="110"/>
    </row>
    <row r="323" spans="1:11" ht="22.5">
      <c r="A323" s="71" t="s">
        <v>5154</v>
      </c>
      <c r="B323" s="107" t="s">
        <v>2538</v>
      </c>
      <c r="C323" s="71" t="s">
        <v>2514</v>
      </c>
      <c r="D323" s="71" t="s">
        <v>5155</v>
      </c>
      <c r="E323" s="108">
        <v>889575.72</v>
      </c>
      <c r="F323" s="109">
        <v>40018</v>
      </c>
      <c r="G323" s="109">
        <v>40269</v>
      </c>
      <c r="H323" s="109">
        <v>40021</v>
      </c>
      <c r="I323" s="109">
        <v>40024</v>
      </c>
      <c r="J323" s="71"/>
      <c r="K323" s="110"/>
    </row>
    <row r="324" spans="1:11">
      <c r="A324" s="71" t="s">
        <v>5156</v>
      </c>
      <c r="B324" s="107" t="s">
        <v>4658</v>
      </c>
      <c r="C324" s="71" t="s">
        <v>1147</v>
      </c>
      <c r="D324" s="71" t="s">
        <v>5157</v>
      </c>
      <c r="E324" s="108">
        <v>2460368.64</v>
      </c>
      <c r="F324" s="109">
        <v>40050</v>
      </c>
      <c r="G324" s="109"/>
      <c r="H324" s="109">
        <v>40051</v>
      </c>
      <c r="I324" s="109">
        <v>40073</v>
      </c>
      <c r="J324" s="71"/>
      <c r="K324" s="110"/>
    </row>
    <row r="325" spans="1:11">
      <c r="A325" s="71" t="s">
        <v>5158</v>
      </c>
      <c r="B325" s="107" t="s">
        <v>1131</v>
      </c>
      <c r="C325" s="71" t="s">
        <v>1147</v>
      </c>
      <c r="D325" s="71" t="s">
        <v>5159</v>
      </c>
      <c r="E325" s="108">
        <v>833182</v>
      </c>
      <c r="F325" s="109">
        <v>40009</v>
      </c>
      <c r="G325" s="109"/>
      <c r="H325" s="109">
        <v>40024</v>
      </c>
      <c r="I325" s="109">
        <v>40024</v>
      </c>
      <c r="J325" s="71"/>
      <c r="K325" s="110"/>
    </row>
    <row r="326" spans="1:11">
      <c r="A326" s="71" t="s">
        <v>5160</v>
      </c>
      <c r="B326" s="107" t="s">
        <v>2543</v>
      </c>
      <c r="C326" s="71" t="s">
        <v>5161</v>
      </c>
      <c r="D326" s="71" t="s">
        <v>5161</v>
      </c>
      <c r="E326" s="108">
        <v>249825</v>
      </c>
      <c r="F326" s="109">
        <v>39988</v>
      </c>
      <c r="G326" s="109"/>
      <c r="H326" s="109">
        <v>40007</v>
      </c>
      <c r="I326" s="109">
        <v>40009</v>
      </c>
      <c r="J326" s="71"/>
      <c r="K326" s="110"/>
    </row>
    <row r="327" spans="1:11">
      <c r="A327" s="71" t="s">
        <v>1278</v>
      </c>
      <c r="B327" s="107" t="s">
        <v>1054</v>
      </c>
      <c r="C327" s="71" t="s">
        <v>1279</v>
      </c>
      <c r="D327" s="71" t="s">
        <v>1280</v>
      </c>
      <c r="E327" s="108">
        <v>213176</v>
      </c>
      <c r="F327" s="109">
        <v>40021</v>
      </c>
      <c r="G327" s="109"/>
      <c r="H327" s="109">
        <v>40022</v>
      </c>
      <c r="I327" s="109">
        <v>40028</v>
      </c>
      <c r="J327" s="71"/>
      <c r="K327" s="110"/>
    </row>
    <row r="328" spans="1:11">
      <c r="A328" s="71" t="s">
        <v>5162</v>
      </c>
      <c r="B328" s="107" t="s">
        <v>5163</v>
      </c>
      <c r="C328" s="71" t="s">
        <v>5164</v>
      </c>
      <c r="D328" s="71" t="s">
        <v>5165</v>
      </c>
      <c r="E328" s="108">
        <v>47764.4</v>
      </c>
      <c r="F328" s="109">
        <v>40037</v>
      </c>
      <c r="G328" s="109"/>
      <c r="H328" s="109">
        <v>40059</v>
      </c>
      <c r="I328" s="109">
        <v>40072</v>
      </c>
      <c r="J328" s="71"/>
      <c r="K328" s="110"/>
    </row>
    <row r="329" spans="1:11">
      <c r="A329" s="71" t="s">
        <v>5166</v>
      </c>
      <c r="B329" s="107" t="s">
        <v>2543</v>
      </c>
      <c r="C329" s="71" t="s">
        <v>2517</v>
      </c>
      <c r="D329" s="71" t="s">
        <v>5167</v>
      </c>
      <c r="E329" s="108">
        <v>6699554.5</v>
      </c>
      <c r="F329" s="109">
        <v>40002</v>
      </c>
      <c r="G329" s="109"/>
      <c r="H329" s="109">
        <v>40021</v>
      </c>
      <c r="I329" s="109">
        <v>40023</v>
      </c>
      <c r="J329" s="71"/>
      <c r="K329" s="110"/>
    </row>
    <row r="330" spans="1:11">
      <c r="A330" s="71" t="s">
        <v>5168</v>
      </c>
      <c r="B330" s="107" t="s">
        <v>1068</v>
      </c>
      <c r="C330" s="71" t="s">
        <v>2530</v>
      </c>
      <c r="D330" s="71" t="s">
        <v>5169</v>
      </c>
      <c r="E330" s="108">
        <v>353742.44</v>
      </c>
      <c r="F330" s="109">
        <v>40016</v>
      </c>
      <c r="G330" s="109"/>
      <c r="H330" s="109">
        <v>40022</v>
      </c>
      <c r="I330" s="109">
        <v>40023</v>
      </c>
      <c r="J330" s="71"/>
      <c r="K330" s="110"/>
    </row>
    <row r="331" spans="1:11">
      <c r="A331" s="71" t="s">
        <v>5170</v>
      </c>
      <c r="B331" s="107" t="s">
        <v>2538</v>
      </c>
      <c r="C331" s="71" t="s">
        <v>2515</v>
      </c>
      <c r="D331" s="71" t="s">
        <v>5171</v>
      </c>
      <c r="E331" s="108">
        <v>674000</v>
      </c>
      <c r="F331" s="109">
        <v>40080</v>
      </c>
      <c r="G331" s="109"/>
      <c r="H331" s="109">
        <v>40081</v>
      </c>
      <c r="I331" s="109">
        <v>40101</v>
      </c>
      <c r="J331" s="71"/>
      <c r="K331" s="110"/>
    </row>
    <row r="332" spans="1:11">
      <c r="A332" s="71" t="s">
        <v>5172</v>
      </c>
      <c r="B332" s="107" t="s">
        <v>2538</v>
      </c>
      <c r="C332" s="71" t="s">
        <v>2513</v>
      </c>
      <c r="D332" s="71" t="s">
        <v>5173</v>
      </c>
      <c r="E332" s="108">
        <v>989573</v>
      </c>
      <c r="F332" s="109">
        <v>40036</v>
      </c>
      <c r="G332" s="109"/>
      <c r="H332" s="109">
        <v>40037</v>
      </c>
      <c r="I332" s="109">
        <v>40101</v>
      </c>
      <c r="J332" s="71"/>
      <c r="K332" s="110"/>
    </row>
    <row r="333" spans="1:11">
      <c r="A333" s="71" t="s">
        <v>1281</v>
      </c>
      <c r="B333" s="107" t="s">
        <v>2524</v>
      </c>
      <c r="C333" s="71" t="s">
        <v>1229</v>
      </c>
      <c r="D333" s="71" t="s">
        <v>1282</v>
      </c>
      <c r="E333" s="108">
        <v>210210</v>
      </c>
      <c r="F333" s="109">
        <v>40003</v>
      </c>
      <c r="G333" s="109"/>
      <c r="H333" s="109">
        <v>40084</v>
      </c>
      <c r="I333" s="109">
        <v>40093</v>
      </c>
      <c r="J333" s="71"/>
      <c r="K333" s="110"/>
    </row>
    <row r="334" spans="1:11">
      <c r="A334" s="71" t="s">
        <v>1283</v>
      </c>
      <c r="B334" s="107" t="s">
        <v>1096</v>
      </c>
      <c r="C334" s="71" t="s">
        <v>1284</v>
      </c>
      <c r="D334" s="71" t="s">
        <v>1285</v>
      </c>
      <c r="E334" s="108">
        <v>718157</v>
      </c>
      <c r="F334" s="109">
        <v>39972</v>
      </c>
      <c r="G334" s="109">
        <v>40088</v>
      </c>
      <c r="H334" s="109">
        <v>39974</v>
      </c>
      <c r="I334" s="109">
        <v>39980</v>
      </c>
      <c r="J334" s="71"/>
      <c r="K334" s="110"/>
    </row>
    <row r="335" spans="1:11">
      <c r="A335" s="71" t="s">
        <v>5174</v>
      </c>
      <c r="B335" s="107" t="s">
        <v>2528</v>
      </c>
      <c r="C335" s="71" t="s">
        <v>1058</v>
      </c>
      <c r="D335" s="71" t="s">
        <v>5175</v>
      </c>
      <c r="E335" s="108">
        <v>289000</v>
      </c>
      <c r="F335" s="109">
        <v>40004</v>
      </c>
      <c r="G335" s="109">
        <v>40214</v>
      </c>
      <c r="H335" s="109">
        <v>40010</v>
      </c>
      <c r="I335" s="109">
        <v>40112</v>
      </c>
      <c r="J335" s="71"/>
      <c r="K335" s="110"/>
    </row>
    <row r="336" spans="1:11">
      <c r="A336" s="71" t="s">
        <v>5176</v>
      </c>
      <c r="B336" s="107" t="s">
        <v>2538</v>
      </c>
      <c r="C336" s="71" t="s">
        <v>5177</v>
      </c>
      <c r="D336" s="71" t="s">
        <v>5178</v>
      </c>
      <c r="E336" s="108"/>
      <c r="F336" s="109">
        <v>40042</v>
      </c>
      <c r="G336" s="109"/>
      <c r="H336" s="109">
        <v>40043</v>
      </c>
      <c r="I336" s="109"/>
      <c r="J336" s="71"/>
      <c r="K336" s="110"/>
    </row>
    <row r="337" spans="1:11">
      <c r="A337" s="71" t="s">
        <v>5179</v>
      </c>
      <c r="B337" s="107" t="s">
        <v>2507</v>
      </c>
      <c r="C337" s="71" t="s">
        <v>4714</v>
      </c>
      <c r="D337" s="71" t="s">
        <v>5180</v>
      </c>
      <c r="E337" s="108">
        <v>106902.76</v>
      </c>
      <c r="F337" s="109">
        <v>40015</v>
      </c>
      <c r="G337" s="109">
        <v>40200</v>
      </c>
      <c r="H337" s="109">
        <v>40009</v>
      </c>
      <c r="I337" s="109">
        <v>40014</v>
      </c>
      <c r="J337" s="71"/>
      <c r="K337" s="110"/>
    </row>
    <row r="338" spans="1:11">
      <c r="A338" s="71" t="s">
        <v>5181</v>
      </c>
      <c r="B338" s="107" t="s">
        <v>1286</v>
      </c>
      <c r="C338" s="71" t="s">
        <v>5182</v>
      </c>
      <c r="D338" s="71" t="s">
        <v>1287</v>
      </c>
      <c r="E338" s="108"/>
      <c r="F338" s="109">
        <v>40021</v>
      </c>
      <c r="G338" s="109"/>
      <c r="H338" s="109">
        <v>40074</v>
      </c>
      <c r="I338" s="109"/>
      <c r="J338" s="71"/>
      <c r="K338" s="110"/>
    </row>
    <row r="339" spans="1:11">
      <c r="A339" s="71" t="s">
        <v>5183</v>
      </c>
      <c r="B339" s="107" t="s">
        <v>2541</v>
      </c>
      <c r="C339" s="71" t="s">
        <v>5184</v>
      </c>
      <c r="D339" s="71" t="s">
        <v>5185</v>
      </c>
      <c r="E339" s="108">
        <v>298604.78000000003</v>
      </c>
      <c r="F339" s="109">
        <v>40017</v>
      </c>
      <c r="G339" s="109"/>
      <c r="H339" s="109">
        <v>40037</v>
      </c>
      <c r="I339" s="109">
        <v>40050</v>
      </c>
      <c r="J339" s="71"/>
      <c r="K339" s="110"/>
    </row>
    <row r="340" spans="1:11">
      <c r="A340" s="71" t="s">
        <v>5186</v>
      </c>
      <c r="B340" s="107" t="s">
        <v>2507</v>
      </c>
      <c r="C340" s="71" t="s">
        <v>1168</v>
      </c>
      <c r="D340" s="71" t="s">
        <v>5187</v>
      </c>
      <c r="E340" s="108">
        <v>200000</v>
      </c>
      <c r="F340" s="109">
        <v>40078</v>
      </c>
      <c r="G340" s="109"/>
      <c r="H340" s="109">
        <v>40093</v>
      </c>
      <c r="I340" s="109">
        <v>40112</v>
      </c>
      <c r="J340" s="71"/>
      <c r="K340" s="110" t="s">
        <v>2877</v>
      </c>
    </row>
    <row r="341" spans="1:11">
      <c r="A341" s="71" t="s">
        <v>5188</v>
      </c>
      <c r="B341" s="107" t="s">
        <v>2543</v>
      </c>
      <c r="C341" s="71" t="s">
        <v>5091</v>
      </c>
      <c r="D341" s="71" t="s">
        <v>5189</v>
      </c>
      <c r="E341" s="108">
        <v>131000</v>
      </c>
      <c r="F341" s="109">
        <v>40009</v>
      </c>
      <c r="G341" s="109">
        <v>40137</v>
      </c>
      <c r="H341" s="109">
        <v>40035</v>
      </c>
      <c r="I341" s="109">
        <v>40037</v>
      </c>
      <c r="J341" s="71"/>
      <c r="K341" s="110"/>
    </row>
    <row r="342" spans="1:11">
      <c r="A342" s="71" t="s">
        <v>5190</v>
      </c>
      <c r="B342" s="107" t="s">
        <v>1218</v>
      </c>
      <c r="C342" s="71" t="s">
        <v>2530</v>
      </c>
      <c r="D342" s="71" t="s">
        <v>5191</v>
      </c>
      <c r="E342" s="108">
        <v>6184099.8499999996</v>
      </c>
      <c r="F342" s="109">
        <v>40037</v>
      </c>
      <c r="G342" s="109"/>
      <c r="H342" s="109">
        <v>40042</v>
      </c>
      <c r="I342" s="109">
        <v>40057</v>
      </c>
      <c r="J342" s="71"/>
      <c r="K342" s="110"/>
    </row>
    <row r="343" spans="1:11">
      <c r="A343" s="71" t="s">
        <v>5192</v>
      </c>
      <c r="B343" s="107" t="s">
        <v>2506</v>
      </c>
      <c r="C343" s="71" t="s">
        <v>4988</v>
      </c>
      <c r="D343" s="71" t="s">
        <v>5193</v>
      </c>
      <c r="E343" s="108">
        <v>139375</v>
      </c>
      <c r="F343" s="109">
        <v>39910</v>
      </c>
      <c r="G343" s="109">
        <v>40193</v>
      </c>
      <c r="H343" s="109">
        <v>39931</v>
      </c>
      <c r="I343" s="109">
        <v>40193</v>
      </c>
      <c r="J343" s="71"/>
      <c r="K343" s="110"/>
    </row>
    <row r="344" spans="1:11">
      <c r="A344" s="71" t="s">
        <v>1288</v>
      </c>
      <c r="B344" s="107" t="s">
        <v>2524</v>
      </c>
      <c r="C344" s="71" t="s">
        <v>1289</v>
      </c>
      <c r="D344" s="71" t="s">
        <v>1290</v>
      </c>
      <c r="E344" s="108">
        <v>66700</v>
      </c>
      <c r="F344" s="109">
        <v>40010</v>
      </c>
      <c r="G344" s="109"/>
      <c r="H344" s="109">
        <v>40031</v>
      </c>
      <c r="I344" s="109">
        <v>40037</v>
      </c>
      <c r="J344" s="71"/>
      <c r="K344" s="110"/>
    </row>
    <row r="345" spans="1:11">
      <c r="A345" s="71" t="s">
        <v>5194</v>
      </c>
      <c r="B345" s="107" t="s">
        <v>2506</v>
      </c>
      <c r="C345" s="71" t="s">
        <v>5195</v>
      </c>
      <c r="D345" s="71" t="s">
        <v>5196</v>
      </c>
      <c r="E345" s="108">
        <v>210123</v>
      </c>
      <c r="F345" s="109">
        <v>40037</v>
      </c>
      <c r="G345" s="109">
        <v>40122</v>
      </c>
      <c r="H345" s="109">
        <v>40064</v>
      </c>
      <c r="I345" s="109">
        <v>40109</v>
      </c>
      <c r="J345" s="71"/>
      <c r="K345" s="110"/>
    </row>
    <row r="346" spans="1:11">
      <c r="A346" s="71" t="s">
        <v>5197</v>
      </c>
      <c r="B346" s="107" t="s">
        <v>1068</v>
      </c>
      <c r="C346" s="71"/>
      <c r="D346" s="71" t="s">
        <v>5198</v>
      </c>
      <c r="E346" s="108">
        <v>150000</v>
      </c>
      <c r="F346" s="109">
        <v>40016</v>
      </c>
      <c r="G346" s="109"/>
      <c r="H346" s="109">
        <v>40022</v>
      </c>
      <c r="I346" s="109"/>
      <c r="J346" s="71"/>
      <c r="K346" s="110"/>
    </row>
    <row r="347" spans="1:11">
      <c r="A347" s="71" t="s">
        <v>1291</v>
      </c>
      <c r="B347" s="107" t="s">
        <v>2520</v>
      </c>
      <c r="C347" s="71" t="s">
        <v>1292</v>
      </c>
      <c r="D347" s="71" t="s">
        <v>1293</v>
      </c>
      <c r="E347" s="108">
        <v>104069.4</v>
      </c>
      <c r="F347" s="109">
        <v>40003</v>
      </c>
      <c r="G347" s="109">
        <v>40254</v>
      </c>
      <c r="H347" s="109">
        <v>40011</v>
      </c>
      <c r="I347" s="109">
        <v>40011</v>
      </c>
      <c r="J347" s="71"/>
      <c r="K347" s="110"/>
    </row>
    <row r="348" spans="1:11">
      <c r="A348" s="71" t="s">
        <v>5199</v>
      </c>
      <c r="B348" s="107" t="s">
        <v>2538</v>
      </c>
      <c r="C348" s="71" t="s">
        <v>2513</v>
      </c>
      <c r="D348" s="71" t="s">
        <v>5200</v>
      </c>
      <c r="E348" s="108">
        <v>684573</v>
      </c>
      <c r="F348" s="109">
        <v>40044</v>
      </c>
      <c r="G348" s="109">
        <v>40168</v>
      </c>
      <c r="H348" s="109">
        <v>40046</v>
      </c>
      <c r="I348" s="109">
        <v>40052</v>
      </c>
      <c r="J348" s="71"/>
      <c r="K348" s="110"/>
    </row>
    <row r="349" spans="1:11">
      <c r="A349" s="71" t="s">
        <v>5201</v>
      </c>
      <c r="B349" s="107" t="s">
        <v>5202</v>
      </c>
      <c r="C349" s="71" t="s">
        <v>1209</v>
      </c>
      <c r="D349" s="71" t="s">
        <v>5203</v>
      </c>
      <c r="E349" s="108">
        <v>150419.20000000001</v>
      </c>
      <c r="F349" s="109">
        <v>40010</v>
      </c>
      <c r="G349" s="109"/>
      <c r="H349" s="109">
        <v>40016</v>
      </c>
      <c r="I349" s="109">
        <v>40045</v>
      </c>
      <c r="J349" s="71"/>
      <c r="K349" s="110"/>
    </row>
    <row r="350" spans="1:11">
      <c r="A350" s="71" t="s">
        <v>5204</v>
      </c>
      <c r="B350" s="107" t="s">
        <v>5205</v>
      </c>
      <c r="C350" s="71" t="s">
        <v>5206</v>
      </c>
      <c r="D350" s="71" t="s">
        <v>5207</v>
      </c>
      <c r="E350" s="108">
        <v>666405.85</v>
      </c>
      <c r="F350" s="109">
        <v>39753</v>
      </c>
      <c r="G350" s="109">
        <v>40101</v>
      </c>
      <c r="H350" s="109">
        <v>40001</v>
      </c>
      <c r="I350" s="109">
        <v>39881</v>
      </c>
      <c r="J350" s="71"/>
      <c r="K350" s="110"/>
    </row>
    <row r="351" spans="1:11">
      <c r="A351" s="71" t="s">
        <v>1294</v>
      </c>
      <c r="B351" s="107" t="s">
        <v>1295</v>
      </c>
      <c r="C351" s="71" t="s">
        <v>1296</v>
      </c>
      <c r="D351" s="71" t="s">
        <v>1297</v>
      </c>
      <c r="E351" s="108"/>
      <c r="F351" s="109">
        <v>40000</v>
      </c>
      <c r="G351" s="109"/>
      <c r="H351" s="109">
        <v>40001</v>
      </c>
      <c r="I351" s="109"/>
      <c r="J351" s="71"/>
      <c r="K351" s="110"/>
    </row>
    <row r="352" spans="1:11">
      <c r="A352" s="71" t="s">
        <v>5208</v>
      </c>
      <c r="B352" s="107" t="s">
        <v>5209</v>
      </c>
      <c r="C352" s="71" t="s">
        <v>5147</v>
      </c>
      <c r="D352" s="71" t="s">
        <v>5210</v>
      </c>
      <c r="E352" s="108">
        <v>104924.94</v>
      </c>
      <c r="F352" s="109">
        <v>40037</v>
      </c>
      <c r="G352" s="109"/>
      <c r="H352" s="109">
        <v>40045</v>
      </c>
      <c r="I352" s="109">
        <v>40074</v>
      </c>
      <c r="J352" s="71"/>
      <c r="K352" s="110"/>
    </row>
    <row r="353" spans="1:11">
      <c r="A353" s="71" t="s">
        <v>1298</v>
      </c>
      <c r="B353" s="107" t="s">
        <v>1054</v>
      </c>
      <c r="C353" s="71" t="s">
        <v>1299</v>
      </c>
      <c r="D353" s="71" t="s">
        <v>1300</v>
      </c>
      <c r="E353" s="108">
        <v>237102.18</v>
      </c>
      <c r="F353" s="109">
        <v>40029</v>
      </c>
      <c r="G353" s="109">
        <v>40112</v>
      </c>
      <c r="H353" s="109">
        <v>40043</v>
      </c>
      <c r="I353" s="109">
        <v>40112</v>
      </c>
      <c r="J353" s="71"/>
      <c r="K353" s="110"/>
    </row>
    <row r="354" spans="1:11">
      <c r="A354" s="71" t="s">
        <v>5211</v>
      </c>
      <c r="B354" s="107" t="s">
        <v>2543</v>
      </c>
      <c r="C354" s="71" t="s">
        <v>2515</v>
      </c>
      <c r="D354" s="71" t="s">
        <v>5212</v>
      </c>
      <c r="E354" s="108">
        <v>655638.94999999995</v>
      </c>
      <c r="F354" s="109">
        <v>40016</v>
      </c>
      <c r="G354" s="109"/>
      <c r="H354" s="109">
        <v>40037</v>
      </c>
      <c r="I354" s="109">
        <v>40037</v>
      </c>
      <c r="J354" s="71"/>
      <c r="K354" s="110"/>
    </row>
    <row r="355" spans="1:11">
      <c r="A355" s="71" t="s">
        <v>5213</v>
      </c>
      <c r="B355" s="107" t="s">
        <v>2509</v>
      </c>
      <c r="C355" s="71" t="s">
        <v>5214</v>
      </c>
      <c r="D355" s="71" t="s">
        <v>5215</v>
      </c>
      <c r="E355" s="108">
        <v>234000</v>
      </c>
      <c r="F355" s="109">
        <v>40031</v>
      </c>
      <c r="G355" s="109">
        <v>40140</v>
      </c>
      <c r="H355" s="109">
        <v>40037</v>
      </c>
      <c r="I355" s="109">
        <v>40037</v>
      </c>
      <c r="J355" s="71"/>
      <c r="K355" s="110"/>
    </row>
    <row r="356" spans="1:11">
      <c r="A356" s="71" t="s">
        <v>5216</v>
      </c>
      <c r="B356" s="107" t="s">
        <v>5217</v>
      </c>
      <c r="C356" s="71" t="s">
        <v>5218</v>
      </c>
      <c r="D356" s="71" t="s">
        <v>5219</v>
      </c>
      <c r="E356" s="108">
        <v>4515251</v>
      </c>
      <c r="F356" s="109">
        <v>39979</v>
      </c>
      <c r="G356" s="109"/>
      <c r="H356" s="109">
        <v>39995</v>
      </c>
      <c r="I356" s="109">
        <v>40072</v>
      </c>
      <c r="J356" s="71"/>
      <c r="K356" s="110"/>
    </row>
    <row r="357" spans="1:11">
      <c r="A357" s="71" t="s">
        <v>5220</v>
      </c>
      <c r="B357" s="107" t="s">
        <v>5217</v>
      </c>
      <c r="C357" s="71" t="s">
        <v>5218</v>
      </c>
      <c r="D357" s="71" t="s">
        <v>5221</v>
      </c>
      <c r="E357" s="108">
        <v>3938632</v>
      </c>
      <c r="F357" s="109">
        <v>39979</v>
      </c>
      <c r="G357" s="109"/>
      <c r="H357" s="109">
        <v>39995</v>
      </c>
      <c r="I357" s="109">
        <v>40072</v>
      </c>
      <c r="J357" s="71"/>
      <c r="K357" s="110"/>
    </row>
    <row r="358" spans="1:11" ht="22.5">
      <c r="A358" s="71" t="s">
        <v>5222</v>
      </c>
      <c r="B358" s="107" t="s">
        <v>1301</v>
      </c>
      <c r="C358" s="71" t="s">
        <v>5223</v>
      </c>
      <c r="D358" s="71" t="s">
        <v>5224</v>
      </c>
      <c r="E358" s="108">
        <v>84374</v>
      </c>
      <c r="F358" s="109">
        <v>40026</v>
      </c>
      <c r="G358" s="109">
        <v>40193</v>
      </c>
      <c r="H358" s="109">
        <v>40057</v>
      </c>
      <c r="I358" s="109" t="s">
        <v>5225</v>
      </c>
      <c r="J358" s="71" t="s">
        <v>2518</v>
      </c>
      <c r="K358" s="110"/>
    </row>
    <row r="359" spans="1:11">
      <c r="A359" s="71" t="s">
        <v>5226</v>
      </c>
      <c r="B359" s="107" t="s">
        <v>5227</v>
      </c>
      <c r="C359" s="71" t="s">
        <v>4585</v>
      </c>
      <c r="D359" s="71" t="s">
        <v>5228</v>
      </c>
      <c r="E359" s="108">
        <v>197000</v>
      </c>
      <c r="F359" s="109">
        <v>40002</v>
      </c>
      <c r="G359" s="109"/>
      <c r="H359" s="109" t="s">
        <v>5229</v>
      </c>
      <c r="I359" s="109">
        <v>40079</v>
      </c>
      <c r="J359" s="71"/>
      <c r="K359" s="110"/>
    </row>
    <row r="360" spans="1:11">
      <c r="A360" s="71" t="s">
        <v>5230</v>
      </c>
      <c r="B360" s="107" t="s">
        <v>5227</v>
      </c>
      <c r="C360" s="71" t="s">
        <v>4585</v>
      </c>
      <c r="D360" s="71" t="s">
        <v>5231</v>
      </c>
      <c r="E360" s="108">
        <v>118800</v>
      </c>
      <c r="F360" s="109">
        <v>40002</v>
      </c>
      <c r="G360" s="109"/>
      <c r="H360" s="109">
        <v>40036</v>
      </c>
      <c r="I360" s="109">
        <v>40079</v>
      </c>
      <c r="J360" s="71"/>
      <c r="K360" s="110"/>
    </row>
    <row r="361" spans="1:11">
      <c r="A361" s="71" t="s">
        <v>5232</v>
      </c>
      <c r="B361" s="107" t="s">
        <v>5227</v>
      </c>
      <c r="C361" s="71" t="s">
        <v>2540</v>
      </c>
      <c r="D361" s="71" t="s">
        <v>5233</v>
      </c>
      <c r="E361" s="108">
        <v>528000</v>
      </c>
      <c r="F361" s="109">
        <v>40002</v>
      </c>
      <c r="G361" s="109"/>
      <c r="H361" s="109">
        <v>40036</v>
      </c>
      <c r="I361" s="109">
        <v>40079</v>
      </c>
      <c r="J361" s="71"/>
      <c r="K361" s="110"/>
    </row>
    <row r="362" spans="1:11">
      <c r="A362" s="71" t="s">
        <v>5234</v>
      </c>
      <c r="B362" s="107" t="s">
        <v>4815</v>
      </c>
      <c r="C362" s="71" t="s">
        <v>2530</v>
      </c>
      <c r="D362" s="71" t="s">
        <v>5235</v>
      </c>
      <c r="E362" s="108">
        <v>467755.6</v>
      </c>
      <c r="F362" s="109">
        <v>40010</v>
      </c>
      <c r="G362" s="109">
        <v>40211</v>
      </c>
      <c r="H362" s="109">
        <v>40045</v>
      </c>
      <c r="I362" s="109">
        <v>40051</v>
      </c>
      <c r="J362" s="71"/>
      <c r="K362" s="110"/>
    </row>
    <row r="363" spans="1:11">
      <c r="A363" s="71" t="s">
        <v>5236</v>
      </c>
      <c r="B363" s="107" t="s">
        <v>2543</v>
      </c>
      <c r="C363" s="71" t="s">
        <v>5237</v>
      </c>
      <c r="D363" s="71" t="s">
        <v>5238</v>
      </c>
      <c r="E363" s="108">
        <v>175000</v>
      </c>
      <c r="F363" s="109">
        <v>40029</v>
      </c>
      <c r="G363" s="109"/>
      <c r="H363" s="109">
        <v>40049</v>
      </c>
      <c r="I363" s="109">
        <v>40051</v>
      </c>
      <c r="J363" s="71"/>
      <c r="K363" s="110"/>
    </row>
    <row r="364" spans="1:11">
      <c r="A364" s="71" t="s">
        <v>5239</v>
      </c>
      <c r="B364" s="107" t="s">
        <v>2542</v>
      </c>
      <c r="C364" s="71" t="s">
        <v>1302</v>
      </c>
      <c r="D364" s="71" t="s">
        <v>5240</v>
      </c>
      <c r="E364" s="108">
        <v>219939.61</v>
      </c>
      <c r="F364" s="109">
        <v>40030</v>
      </c>
      <c r="G364" s="109">
        <v>40240</v>
      </c>
      <c r="H364" s="109">
        <v>40045</v>
      </c>
      <c r="I364" s="109">
        <v>40050</v>
      </c>
      <c r="J364" s="71"/>
      <c r="K364" s="110"/>
    </row>
    <row r="365" spans="1:11">
      <c r="A365" s="71" t="s">
        <v>1303</v>
      </c>
      <c r="B365" s="107" t="s">
        <v>2520</v>
      </c>
      <c r="C365" s="71" t="s">
        <v>1304</v>
      </c>
      <c r="D365" s="71" t="s">
        <v>1305</v>
      </c>
      <c r="E365" s="108"/>
      <c r="F365" s="109">
        <v>40071</v>
      </c>
      <c r="G365" s="109"/>
      <c r="H365" s="109">
        <v>40079</v>
      </c>
      <c r="I365" s="109"/>
      <c r="J365" s="71"/>
      <c r="K365" s="110"/>
    </row>
    <row r="366" spans="1:11">
      <c r="A366" s="71" t="s">
        <v>5241</v>
      </c>
      <c r="B366" s="107" t="s">
        <v>2543</v>
      </c>
      <c r="C366" s="71" t="s">
        <v>5091</v>
      </c>
      <c r="D366" s="71" t="s">
        <v>5242</v>
      </c>
      <c r="E366" s="108">
        <v>970850</v>
      </c>
      <c r="F366" s="109">
        <v>40024</v>
      </c>
      <c r="G366" s="109"/>
      <c r="H366" s="109">
        <v>40049</v>
      </c>
      <c r="I366" s="109">
        <v>40051</v>
      </c>
      <c r="J366" s="71"/>
      <c r="K366" s="110"/>
    </row>
    <row r="367" spans="1:11">
      <c r="A367" s="71" t="s">
        <v>5243</v>
      </c>
      <c r="B367" s="107" t="s">
        <v>1214</v>
      </c>
      <c r="C367" s="71" t="s">
        <v>5147</v>
      </c>
      <c r="D367" s="71" t="s">
        <v>5244</v>
      </c>
      <c r="E367" s="108">
        <v>314022.46999999997</v>
      </c>
      <c r="F367" s="109">
        <v>40037</v>
      </c>
      <c r="G367" s="109">
        <v>40352</v>
      </c>
      <c r="H367" s="109">
        <v>40064</v>
      </c>
      <c r="I367" s="109">
        <v>40074</v>
      </c>
      <c r="J367" s="71"/>
      <c r="K367" s="110"/>
    </row>
    <row r="368" spans="1:11">
      <c r="A368" s="71" t="s">
        <v>5245</v>
      </c>
      <c r="B368" s="107" t="s">
        <v>4549</v>
      </c>
      <c r="C368" s="71" t="s">
        <v>5105</v>
      </c>
      <c r="D368" s="71" t="s">
        <v>5246</v>
      </c>
      <c r="E368" s="108">
        <v>651750</v>
      </c>
      <c r="F368" s="109">
        <v>40043</v>
      </c>
      <c r="G368" s="109"/>
      <c r="H368" s="109">
        <v>40059</v>
      </c>
      <c r="I368" s="109">
        <v>40193</v>
      </c>
      <c r="J368" s="71"/>
      <c r="K368" s="110"/>
    </row>
    <row r="369" spans="1:11">
      <c r="A369" s="71" t="s">
        <v>5247</v>
      </c>
      <c r="B369" s="107" t="s">
        <v>4864</v>
      </c>
      <c r="C369" s="71" t="s">
        <v>1168</v>
      </c>
      <c r="D369" s="71" t="s">
        <v>5248</v>
      </c>
      <c r="E369" s="108">
        <v>297944.62</v>
      </c>
      <c r="F369" s="109">
        <v>39917</v>
      </c>
      <c r="G369" s="109">
        <v>40119</v>
      </c>
      <c r="H369" s="109">
        <v>40008</v>
      </c>
      <c r="I369" s="109">
        <v>39917</v>
      </c>
      <c r="J369" s="71"/>
      <c r="K369" s="110"/>
    </row>
    <row r="370" spans="1:11">
      <c r="A370" s="71" t="s">
        <v>5249</v>
      </c>
      <c r="B370" s="107" t="s">
        <v>5250</v>
      </c>
      <c r="C370" s="71" t="s">
        <v>5251</v>
      </c>
      <c r="D370" s="71" t="s">
        <v>5252</v>
      </c>
      <c r="E370" s="108">
        <v>2935043</v>
      </c>
      <c r="F370" s="109">
        <v>40052</v>
      </c>
      <c r="G370" s="109"/>
      <c r="H370" s="109">
        <v>40129</v>
      </c>
      <c r="I370" s="109">
        <v>40219</v>
      </c>
      <c r="J370" s="71"/>
      <c r="K370" s="110"/>
    </row>
    <row r="371" spans="1:11">
      <c r="A371" s="71" t="s">
        <v>5253</v>
      </c>
      <c r="B371" s="107" t="s">
        <v>5250</v>
      </c>
      <c r="C371" s="71" t="s">
        <v>2530</v>
      </c>
      <c r="D371" s="71" t="s">
        <v>5254</v>
      </c>
      <c r="E371" s="108">
        <v>717769</v>
      </c>
      <c r="F371" s="109">
        <v>40052</v>
      </c>
      <c r="G371" s="109"/>
      <c r="H371" s="109">
        <v>40066</v>
      </c>
      <c r="I371" s="109">
        <v>40066</v>
      </c>
      <c r="J371" s="71"/>
      <c r="K371" s="110"/>
    </row>
    <row r="372" spans="1:11">
      <c r="A372" s="71" t="s">
        <v>5255</v>
      </c>
      <c r="B372" s="107" t="s">
        <v>1306</v>
      </c>
      <c r="C372" s="71" t="s">
        <v>2530</v>
      </c>
      <c r="D372" s="71" t="s">
        <v>5256</v>
      </c>
      <c r="E372" s="108">
        <v>344803</v>
      </c>
      <c r="F372" s="109">
        <v>40043</v>
      </c>
      <c r="G372" s="109">
        <v>40304</v>
      </c>
      <c r="H372" s="109">
        <v>40057</v>
      </c>
      <c r="I372" s="109">
        <v>40161</v>
      </c>
      <c r="J372" s="71"/>
      <c r="K372" s="110"/>
    </row>
    <row r="373" spans="1:11">
      <c r="A373" s="71" t="s">
        <v>5257</v>
      </c>
      <c r="B373" s="107" t="s">
        <v>1110</v>
      </c>
      <c r="C373" s="71" t="s">
        <v>5258</v>
      </c>
      <c r="D373" s="71" t="s">
        <v>5259</v>
      </c>
      <c r="E373" s="108"/>
      <c r="F373" s="109">
        <v>40029</v>
      </c>
      <c r="G373" s="109"/>
      <c r="H373" s="109">
        <v>40030</v>
      </c>
      <c r="I373" s="109"/>
      <c r="J373" s="71"/>
      <c r="K373" s="110"/>
    </row>
    <row r="374" spans="1:11">
      <c r="A374" s="71" t="s">
        <v>5260</v>
      </c>
      <c r="B374" s="107" t="s">
        <v>1124</v>
      </c>
      <c r="C374" s="71" t="s">
        <v>2518</v>
      </c>
      <c r="D374" s="71" t="s">
        <v>5261</v>
      </c>
      <c r="E374" s="108"/>
      <c r="F374" s="109">
        <v>40025</v>
      </c>
      <c r="G374" s="109"/>
      <c r="H374" s="109">
        <v>40030</v>
      </c>
      <c r="I374" s="109"/>
      <c r="J374" s="71"/>
      <c r="K374" s="110"/>
    </row>
    <row r="375" spans="1:11" ht="22.5">
      <c r="A375" s="71" t="s">
        <v>5262</v>
      </c>
      <c r="B375" s="107" t="s">
        <v>1124</v>
      </c>
      <c r="C375" s="71" t="s">
        <v>2514</v>
      </c>
      <c r="D375" s="71" t="s">
        <v>5263</v>
      </c>
      <c r="E375" s="108">
        <v>220000</v>
      </c>
      <c r="F375" s="109">
        <v>40397</v>
      </c>
      <c r="G375" s="109">
        <v>40197</v>
      </c>
      <c r="H375" s="109">
        <v>40074</v>
      </c>
      <c r="I375" s="109">
        <v>40197</v>
      </c>
      <c r="J375" s="71"/>
      <c r="K375" s="110"/>
    </row>
    <row r="376" spans="1:11">
      <c r="A376" s="71" t="s">
        <v>5264</v>
      </c>
      <c r="B376" s="107" t="s">
        <v>1063</v>
      </c>
      <c r="C376" s="71" t="s">
        <v>2530</v>
      </c>
      <c r="D376" s="71" t="s">
        <v>5265</v>
      </c>
      <c r="E376" s="108">
        <v>2662819</v>
      </c>
      <c r="F376" s="109">
        <v>40052</v>
      </c>
      <c r="G376" s="109"/>
      <c r="H376" s="109">
        <v>40066</v>
      </c>
      <c r="I376" s="109">
        <v>40066</v>
      </c>
      <c r="J376" s="71"/>
      <c r="K376" s="110"/>
    </row>
    <row r="377" spans="1:11">
      <c r="A377" s="71" t="s">
        <v>5266</v>
      </c>
      <c r="B377" s="107" t="s">
        <v>4624</v>
      </c>
      <c r="C377" s="71" t="s">
        <v>2540</v>
      </c>
      <c r="D377" s="71" t="s">
        <v>5267</v>
      </c>
      <c r="E377" s="108">
        <v>243040.5</v>
      </c>
      <c r="F377" s="109">
        <v>40030</v>
      </c>
      <c r="G377" s="109"/>
      <c r="H377" s="109">
        <v>40037</v>
      </c>
      <c r="I377" s="109">
        <v>40220</v>
      </c>
      <c r="J377" s="71"/>
      <c r="K377" s="110"/>
    </row>
    <row r="378" spans="1:11">
      <c r="A378" s="71" t="s">
        <v>5268</v>
      </c>
      <c r="B378" s="107" t="s">
        <v>2509</v>
      </c>
      <c r="C378" s="71" t="s">
        <v>1307</v>
      </c>
      <c r="D378" s="71" t="s">
        <v>5269</v>
      </c>
      <c r="E378" s="108">
        <v>956695</v>
      </c>
      <c r="F378" s="109">
        <v>40044</v>
      </c>
      <c r="G378" s="109"/>
      <c r="H378" s="109">
        <v>40050</v>
      </c>
      <c r="I378" s="109">
        <v>40050</v>
      </c>
      <c r="J378" s="71"/>
      <c r="K378" s="110"/>
    </row>
    <row r="379" spans="1:11" ht="22.5">
      <c r="A379" s="71" t="s">
        <v>5270</v>
      </c>
      <c r="B379" s="107" t="s">
        <v>1063</v>
      </c>
      <c r="C379" s="71" t="s">
        <v>1183</v>
      </c>
      <c r="D379" s="71" t="s">
        <v>5271</v>
      </c>
      <c r="E379" s="108">
        <v>334597</v>
      </c>
      <c r="F379" s="109">
        <v>40031</v>
      </c>
      <c r="G379" s="109"/>
      <c r="H379" s="109">
        <v>40038</v>
      </c>
      <c r="I379" s="109">
        <v>40039</v>
      </c>
      <c r="J379" s="71"/>
      <c r="K379" s="110"/>
    </row>
    <row r="380" spans="1:11">
      <c r="A380" s="71" t="s">
        <v>1308</v>
      </c>
      <c r="B380" s="107" t="s">
        <v>1096</v>
      </c>
      <c r="C380" s="71" t="s">
        <v>1309</v>
      </c>
      <c r="D380" s="71" t="s">
        <v>1310</v>
      </c>
      <c r="E380" s="108"/>
      <c r="F380" s="109">
        <v>40035</v>
      </c>
      <c r="G380" s="109"/>
      <c r="H380" s="109">
        <v>40037</v>
      </c>
      <c r="I380" s="109"/>
      <c r="J380" s="71"/>
      <c r="K380" s="110"/>
    </row>
    <row r="381" spans="1:11">
      <c r="A381" s="71" t="s">
        <v>5272</v>
      </c>
      <c r="B381" s="107" t="s">
        <v>1131</v>
      </c>
      <c r="C381" s="71" t="s">
        <v>1311</v>
      </c>
      <c r="D381" s="71" t="s">
        <v>5273</v>
      </c>
      <c r="E381" s="108">
        <v>222205</v>
      </c>
      <c r="F381" s="109">
        <v>40037</v>
      </c>
      <c r="G381" s="109">
        <v>40340</v>
      </c>
      <c r="H381" s="109">
        <v>40066</v>
      </c>
      <c r="I381" s="109">
        <v>40066</v>
      </c>
      <c r="J381" s="71"/>
      <c r="K381" s="110"/>
    </row>
    <row r="382" spans="1:11">
      <c r="A382" s="71" t="s">
        <v>5274</v>
      </c>
      <c r="B382" s="107" t="s">
        <v>2542</v>
      </c>
      <c r="C382" s="71" t="s">
        <v>1292</v>
      </c>
      <c r="D382" s="71" t="s">
        <v>5275</v>
      </c>
      <c r="E382" s="108">
        <v>654525.30000000005</v>
      </c>
      <c r="F382" s="109">
        <v>40049</v>
      </c>
      <c r="G382" s="109">
        <v>40437</v>
      </c>
      <c r="H382" s="109">
        <v>40059</v>
      </c>
      <c r="I382" s="109">
        <v>40074</v>
      </c>
      <c r="J382" s="71"/>
      <c r="K382" s="110"/>
    </row>
    <row r="383" spans="1:11">
      <c r="A383" s="71" t="s">
        <v>1312</v>
      </c>
      <c r="B383" s="107" t="s">
        <v>2520</v>
      </c>
      <c r="C383" s="71" t="s">
        <v>1313</v>
      </c>
      <c r="D383" s="71" t="s">
        <v>1314</v>
      </c>
      <c r="E383" s="108">
        <v>148490.85999999999</v>
      </c>
      <c r="F383" s="109">
        <v>40050</v>
      </c>
      <c r="G383" s="109">
        <v>40260</v>
      </c>
      <c r="H383" s="109">
        <v>40065</v>
      </c>
      <c r="I383" s="109">
        <v>40066</v>
      </c>
      <c r="J383" s="71"/>
      <c r="K383" s="110"/>
    </row>
    <row r="384" spans="1:11" ht="22.5">
      <c r="A384" s="71" t="s">
        <v>5276</v>
      </c>
      <c r="B384" s="107" t="s">
        <v>1301</v>
      </c>
      <c r="C384" s="71" t="s">
        <v>5277</v>
      </c>
      <c r="D384" s="71" t="s">
        <v>5278</v>
      </c>
      <c r="E384" s="108">
        <v>97811</v>
      </c>
      <c r="F384" s="109">
        <v>40046</v>
      </c>
      <c r="G384" s="109"/>
      <c r="H384" s="109">
        <v>40084</v>
      </c>
      <c r="I384" s="109" t="s">
        <v>5279</v>
      </c>
      <c r="J384" s="71"/>
      <c r="K384" s="110"/>
    </row>
    <row r="385" spans="1:11" ht="22.5">
      <c r="A385" s="71" t="s">
        <v>5280</v>
      </c>
      <c r="B385" s="107" t="s">
        <v>2509</v>
      </c>
      <c r="C385" s="71" t="s">
        <v>5281</v>
      </c>
      <c r="D385" s="71" t="s">
        <v>5282</v>
      </c>
      <c r="E385" s="108"/>
      <c r="F385" s="109">
        <v>40046</v>
      </c>
      <c r="G385" s="109">
        <v>40235</v>
      </c>
      <c r="H385" s="109">
        <v>40051</v>
      </c>
      <c r="I385" s="109">
        <v>40052</v>
      </c>
      <c r="J385" s="71"/>
      <c r="K385" s="110"/>
    </row>
    <row r="386" spans="1:11">
      <c r="A386" s="71" t="s">
        <v>5283</v>
      </c>
      <c r="B386" s="107" t="s">
        <v>2506</v>
      </c>
      <c r="C386" s="71" t="s">
        <v>1077</v>
      </c>
      <c r="D386" s="71" t="s">
        <v>5284</v>
      </c>
      <c r="E386" s="108">
        <v>493000</v>
      </c>
      <c r="F386" s="109">
        <v>40071</v>
      </c>
      <c r="G386" s="109"/>
      <c r="H386" s="109">
        <v>40099</v>
      </c>
      <c r="I386" s="109">
        <v>40170</v>
      </c>
      <c r="J386" s="71"/>
      <c r="K386" s="110"/>
    </row>
    <row r="387" spans="1:11">
      <c r="A387" s="71" t="s">
        <v>5285</v>
      </c>
      <c r="B387" s="107" t="s">
        <v>5286</v>
      </c>
      <c r="C387" s="71" t="s">
        <v>5287</v>
      </c>
      <c r="D387" s="71" t="s">
        <v>1315</v>
      </c>
      <c r="E387" s="108"/>
      <c r="F387" s="109">
        <v>40052</v>
      </c>
      <c r="G387" s="109"/>
      <c r="H387" s="109">
        <v>40086</v>
      </c>
      <c r="I387" s="109"/>
      <c r="J387" s="71"/>
      <c r="K387" s="110"/>
    </row>
    <row r="388" spans="1:11">
      <c r="A388" s="71" t="s">
        <v>1316</v>
      </c>
      <c r="B388" s="107" t="s">
        <v>1317</v>
      </c>
      <c r="C388" s="71" t="s">
        <v>1212</v>
      </c>
      <c r="D388" s="71" t="s">
        <v>1318</v>
      </c>
      <c r="E388" s="108">
        <v>250000</v>
      </c>
      <c r="F388" s="109">
        <v>40039</v>
      </c>
      <c r="G388" s="109"/>
      <c r="H388" s="109">
        <v>40046</v>
      </c>
      <c r="I388" s="109"/>
      <c r="J388" s="71"/>
      <c r="K388" s="110"/>
    </row>
    <row r="389" spans="1:11">
      <c r="A389" s="71" t="s">
        <v>1316</v>
      </c>
      <c r="B389" s="107"/>
      <c r="C389" s="71" t="s">
        <v>2505</v>
      </c>
      <c r="D389" s="71"/>
      <c r="E389" s="108">
        <v>65308</v>
      </c>
      <c r="F389" s="109">
        <v>40042</v>
      </c>
      <c r="G389" s="109"/>
      <c r="H389" s="109">
        <v>40044</v>
      </c>
      <c r="I389" s="109">
        <v>40044</v>
      </c>
      <c r="J389" s="71"/>
      <c r="K389" s="110"/>
    </row>
    <row r="390" spans="1:11">
      <c r="A390" s="71" t="s">
        <v>1316</v>
      </c>
      <c r="B390" s="107"/>
      <c r="C390" s="71" t="s">
        <v>1319</v>
      </c>
      <c r="D390" s="71"/>
      <c r="E390" s="108">
        <v>216712</v>
      </c>
      <c r="F390" s="109">
        <v>40032</v>
      </c>
      <c r="G390" s="109"/>
      <c r="H390" s="109">
        <v>40035</v>
      </c>
      <c r="I390" s="109">
        <v>40037</v>
      </c>
      <c r="J390" s="71"/>
      <c r="K390" s="110"/>
    </row>
    <row r="391" spans="1:11">
      <c r="A391" s="71" t="s">
        <v>1316</v>
      </c>
      <c r="B391" s="107"/>
      <c r="C391" s="71" t="s">
        <v>1253</v>
      </c>
      <c r="D391" s="71"/>
      <c r="E391" s="108">
        <v>1202556</v>
      </c>
      <c r="F391" s="109">
        <v>40066</v>
      </c>
      <c r="G391" s="109"/>
      <c r="H391" s="109">
        <v>40078</v>
      </c>
      <c r="I391" s="109"/>
      <c r="J391" s="71"/>
      <c r="K391" s="110"/>
    </row>
    <row r="392" spans="1:11">
      <c r="A392" s="71" t="s">
        <v>1320</v>
      </c>
      <c r="B392" s="107" t="s">
        <v>2520</v>
      </c>
      <c r="C392" s="71" t="s">
        <v>1321</v>
      </c>
      <c r="D392" s="71" t="s">
        <v>1322</v>
      </c>
      <c r="E392" s="108">
        <v>244364.89</v>
      </c>
      <c r="F392" s="109">
        <v>40079</v>
      </c>
      <c r="G392" s="109">
        <v>40130</v>
      </c>
      <c r="H392" s="109">
        <v>40079</v>
      </c>
      <c r="I392" s="109">
        <v>40037</v>
      </c>
      <c r="J392" s="71"/>
      <c r="K392" s="110"/>
    </row>
    <row r="393" spans="1:11">
      <c r="A393" s="71" t="s">
        <v>1323</v>
      </c>
      <c r="B393" s="107" t="s">
        <v>1054</v>
      </c>
      <c r="C393" s="71" t="s">
        <v>1324</v>
      </c>
      <c r="D393" s="71" t="s">
        <v>1325</v>
      </c>
      <c r="E393" s="108"/>
      <c r="F393" s="109">
        <v>40078</v>
      </c>
      <c r="G393" s="109"/>
      <c r="H393" s="109">
        <v>40078</v>
      </c>
      <c r="I393" s="109"/>
      <c r="J393" s="71"/>
      <c r="K393" s="110"/>
    </row>
    <row r="394" spans="1:11">
      <c r="A394" s="71" t="s">
        <v>5288</v>
      </c>
      <c r="B394" s="107" t="s">
        <v>1326</v>
      </c>
      <c r="C394" s="71" t="s">
        <v>5289</v>
      </c>
      <c r="D394" s="71" t="s">
        <v>5290</v>
      </c>
      <c r="E394" s="108"/>
      <c r="F394" s="109">
        <v>40065</v>
      </c>
      <c r="G394" s="109"/>
      <c r="H394" s="109">
        <v>40098</v>
      </c>
      <c r="I394" s="109">
        <v>40099</v>
      </c>
      <c r="J394" s="71"/>
      <c r="K394" s="110"/>
    </row>
    <row r="395" spans="1:11">
      <c r="A395" s="71" t="s">
        <v>5291</v>
      </c>
      <c r="B395" s="107" t="s">
        <v>5292</v>
      </c>
      <c r="C395" s="71" t="s">
        <v>5293</v>
      </c>
      <c r="D395" s="71" t="s">
        <v>5294</v>
      </c>
      <c r="E395" s="108"/>
      <c r="F395" s="109">
        <v>40078</v>
      </c>
      <c r="G395" s="109"/>
      <c r="H395" s="109">
        <v>40086</v>
      </c>
      <c r="I395" s="109"/>
      <c r="J395" s="71"/>
      <c r="K395" s="110"/>
    </row>
    <row r="396" spans="1:11">
      <c r="A396" s="71" t="s">
        <v>5295</v>
      </c>
      <c r="B396" s="107" t="s">
        <v>1122</v>
      </c>
      <c r="C396" s="71" t="s">
        <v>5296</v>
      </c>
      <c r="D396" s="71" t="s">
        <v>5297</v>
      </c>
      <c r="E396" s="108"/>
      <c r="F396" s="109">
        <v>40073</v>
      </c>
      <c r="G396" s="109"/>
      <c r="H396" s="109">
        <v>40074</v>
      </c>
      <c r="I396" s="109"/>
      <c r="J396" s="71"/>
      <c r="K396" s="110"/>
    </row>
    <row r="397" spans="1:11">
      <c r="A397" s="71" t="s">
        <v>5298</v>
      </c>
      <c r="B397" s="107" t="s">
        <v>2537</v>
      </c>
      <c r="C397" s="71" t="s">
        <v>5299</v>
      </c>
      <c r="D397" s="71" t="s">
        <v>5300</v>
      </c>
      <c r="E397" s="108"/>
      <c r="F397" s="109">
        <v>40057</v>
      </c>
      <c r="G397" s="109"/>
      <c r="H397" s="109">
        <v>40087</v>
      </c>
      <c r="I397" s="109"/>
      <c r="J397" s="71"/>
      <c r="K397" s="110"/>
    </row>
    <row r="398" spans="1:11">
      <c r="A398" s="71" t="s">
        <v>5301</v>
      </c>
      <c r="B398" s="107" t="s">
        <v>2538</v>
      </c>
      <c r="C398" s="71" t="s">
        <v>5302</v>
      </c>
      <c r="D398" s="71" t="s">
        <v>1327</v>
      </c>
      <c r="E398" s="108"/>
      <c r="F398" s="109">
        <v>40065</v>
      </c>
      <c r="G398" s="109"/>
      <c r="H398" s="109">
        <v>40084</v>
      </c>
      <c r="I398" s="109"/>
      <c r="J398" s="71"/>
      <c r="K398" s="110"/>
    </row>
    <row r="399" spans="1:11">
      <c r="A399" s="71" t="s">
        <v>5303</v>
      </c>
      <c r="B399" s="107" t="s">
        <v>2509</v>
      </c>
      <c r="C399" s="71" t="s">
        <v>5091</v>
      </c>
      <c r="D399" s="71" t="s">
        <v>5304</v>
      </c>
      <c r="E399" s="108">
        <v>950000</v>
      </c>
      <c r="F399" s="109">
        <v>40052</v>
      </c>
      <c r="G399" s="109"/>
      <c r="H399" s="109">
        <v>40065</v>
      </c>
      <c r="I399" s="109">
        <v>40066</v>
      </c>
      <c r="J399" s="71"/>
      <c r="K399" s="110"/>
    </row>
    <row r="400" spans="1:11">
      <c r="A400" s="71" t="s">
        <v>5305</v>
      </c>
      <c r="B400" s="107" t="s">
        <v>2543</v>
      </c>
      <c r="C400" s="71" t="s">
        <v>5306</v>
      </c>
      <c r="D400" s="71" t="s">
        <v>5307</v>
      </c>
      <c r="E400" s="108">
        <v>192562.26</v>
      </c>
      <c r="F400" s="109">
        <v>40071</v>
      </c>
      <c r="G400" s="109">
        <v>40331</v>
      </c>
      <c r="H400" s="109">
        <v>40078</v>
      </c>
      <c r="I400" s="109">
        <v>40464</v>
      </c>
      <c r="J400" s="71"/>
      <c r="K400" s="110"/>
    </row>
    <row r="401" spans="1:11">
      <c r="A401" s="71" t="s">
        <v>5308</v>
      </c>
      <c r="B401" s="107" t="s">
        <v>5309</v>
      </c>
      <c r="C401" s="71" t="s">
        <v>5091</v>
      </c>
      <c r="D401" s="71" t="s">
        <v>5310</v>
      </c>
      <c r="E401" s="108">
        <v>1149939.06</v>
      </c>
      <c r="F401" s="109">
        <v>40080</v>
      </c>
      <c r="G401" s="109">
        <v>40409</v>
      </c>
      <c r="H401" s="109">
        <v>40099</v>
      </c>
      <c r="I401" s="109">
        <v>40065</v>
      </c>
      <c r="J401" s="71"/>
      <c r="K401" s="110"/>
    </row>
    <row r="402" spans="1:11">
      <c r="A402" s="71" t="s">
        <v>1328</v>
      </c>
      <c r="B402" s="107" t="s">
        <v>1054</v>
      </c>
      <c r="C402" s="71" t="s">
        <v>1209</v>
      </c>
      <c r="D402" s="71" t="s">
        <v>1329</v>
      </c>
      <c r="E402" s="108">
        <v>129782</v>
      </c>
      <c r="F402" s="109">
        <v>40071</v>
      </c>
      <c r="G402" s="109">
        <v>40374</v>
      </c>
      <c r="H402" s="109">
        <v>40099</v>
      </c>
      <c r="I402" s="109">
        <v>40108</v>
      </c>
      <c r="J402" s="71"/>
      <c r="K402" s="110"/>
    </row>
    <row r="403" spans="1:11">
      <c r="A403" s="71" t="s">
        <v>5311</v>
      </c>
      <c r="B403" s="107" t="s">
        <v>5312</v>
      </c>
      <c r="C403" s="71" t="s">
        <v>5313</v>
      </c>
      <c r="D403" s="71" t="s">
        <v>5314</v>
      </c>
      <c r="E403" s="108"/>
      <c r="F403" s="109">
        <v>40057</v>
      </c>
      <c r="G403" s="109"/>
      <c r="H403" s="109">
        <v>40087</v>
      </c>
      <c r="I403" s="109"/>
      <c r="J403" s="71"/>
      <c r="K403" s="110"/>
    </row>
    <row r="404" spans="1:11">
      <c r="A404" s="71" t="s">
        <v>5315</v>
      </c>
      <c r="B404" s="107" t="s">
        <v>5101</v>
      </c>
      <c r="C404" s="71" t="s">
        <v>5316</v>
      </c>
      <c r="D404" s="71" t="s">
        <v>5317</v>
      </c>
      <c r="E404" s="108">
        <v>379598.5</v>
      </c>
      <c r="F404" s="109">
        <v>40087</v>
      </c>
      <c r="G404" s="109"/>
      <c r="H404" s="109">
        <v>40091</v>
      </c>
      <c r="I404" s="109">
        <v>40295</v>
      </c>
      <c r="J404" s="71"/>
      <c r="K404" s="110"/>
    </row>
    <row r="405" spans="1:11">
      <c r="A405" s="71" t="s">
        <v>5318</v>
      </c>
      <c r="B405" s="107" t="s">
        <v>1330</v>
      </c>
      <c r="C405" s="71" t="s">
        <v>5319</v>
      </c>
      <c r="D405" s="71" t="s">
        <v>5320</v>
      </c>
      <c r="E405" s="108">
        <v>168283</v>
      </c>
      <c r="F405" s="109">
        <v>40060</v>
      </c>
      <c r="G405" s="109"/>
      <c r="H405" s="109">
        <v>40088</v>
      </c>
      <c r="I405" s="109">
        <v>40112</v>
      </c>
      <c r="J405" s="71"/>
      <c r="K405" s="110"/>
    </row>
    <row r="406" spans="1:11" ht="22.5">
      <c r="A406" s="71" t="s">
        <v>5321</v>
      </c>
      <c r="B406" s="107" t="s">
        <v>5322</v>
      </c>
      <c r="C406" s="71" t="s">
        <v>5323</v>
      </c>
      <c r="D406" s="71" t="s">
        <v>5324</v>
      </c>
      <c r="E406" s="108">
        <v>130000</v>
      </c>
      <c r="F406" s="109">
        <v>40080</v>
      </c>
      <c r="G406" s="109"/>
      <c r="H406" s="109">
        <v>40086</v>
      </c>
      <c r="I406" s="109"/>
      <c r="J406" s="71"/>
      <c r="K406" s="110"/>
    </row>
    <row r="407" spans="1:11">
      <c r="A407" s="71" t="s">
        <v>5325</v>
      </c>
      <c r="B407" s="107" t="s">
        <v>4624</v>
      </c>
      <c r="C407" s="71" t="s">
        <v>5326</v>
      </c>
      <c r="D407" s="71" t="s">
        <v>5327</v>
      </c>
      <c r="E407" s="108">
        <v>581016</v>
      </c>
      <c r="F407" s="109">
        <v>40085</v>
      </c>
      <c r="G407" s="109"/>
      <c r="H407" s="109">
        <v>40100</v>
      </c>
      <c r="I407" s="109">
        <v>40107</v>
      </c>
      <c r="J407" s="71"/>
      <c r="K407" s="110" t="s">
        <v>2877</v>
      </c>
    </row>
    <row r="408" spans="1:11">
      <c r="A408" s="71" t="s">
        <v>1331</v>
      </c>
      <c r="B408" s="107" t="s">
        <v>2520</v>
      </c>
      <c r="C408" s="71" t="s">
        <v>1332</v>
      </c>
      <c r="D408" s="71" t="s">
        <v>1333</v>
      </c>
      <c r="E408" s="108"/>
      <c r="F408" s="109">
        <v>40085</v>
      </c>
      <c r="G408" s="109"/>
      <c r="H408" s="109">
        <v>40105</v>
      </c>
      <c r="I408" s="109"/>
      <c r="J408" s="71"/>
      <c r="K408" s="110"/>
    </row>
    <row r="409" spans="1:11">
      <c r="A409" s="71" t="s">
        <v>5328</v>
      </c>
      <c r="B409" s="107" t="s">
        <v>2516</v>
      </c>
      <c r="C409" s="71" t="s">
        <v>4754</v>
      </c>
      <c r="D409" s="71" t="s">
        <v>5329</v>
      </c>
      <c r="E409" s="108">
        <v>424500</v>
      </c>
      <c r="F409" s="109">
        <v>40085</v>
      </c>
      <c r="G409" s="109"/>
      <c r="H409" s="109">
        <v>40101</v>
      </c>
      <c r="I409" s="109">
        <v>40101</v>
      </c>
      <c r="J409" s="71"/>
      <c r="K409" s="110"/>
    </row>
    <row r="410" spans="1:11">
      <c r="A410" s="71" t="s">
        <v>5330</v>
      </c>
      <c r="B410" s="107" t="s">
        <v>2516</v>
      </c>
      <c r="C410" s="71" t="s">
        <v>4754</v>
      </c>
      <c r="D410" s="71" t="s">
        <v>5331</v>
      </c>
      <c r="E410" s="108">
        <v>779500</v>
      </c>
      <c r="F410" s="109">
        <v>40085</v>
      </c>
      <c r="G410" s="109"/>
      <c r="H410" s="109">
        <v>40101</v>
      </c>
      <c r="I410" s="109">
        <v>40101</v>
      </c>
      <c r="J410" s="71"/>
      <c r="K410" s="110"/>
    </row>
    <row r="411" spans="1:11" ht="22.5">
      <c r="A411" s="71" t="s">
        <v>5332</v>
      </c>
      <c r="B411" s="107" t="s">
        <v>1060</v>
      </c>
      <c r="C411" s="71" t="s">
        <v>5333</v>
      </c>
      <c r="D411" s="71" t="s">
        <v>5334</v>
      </c>
      <c r="E411" s="108">
        <v>163000</v>
      </c>
      <c r="F411" s="109">
        <v>40079</v>
      </c>
      <c r="G411" s="109"/>
      <c r="H411" s="109">
        <v>40086</v>
      </c>
      <c r="I411" s="109"/>
      <c r="J411" s="71"/>
      <c r="K411" s="110"/>
    </row>
    <row r="412" spans="1:11">
      <c r="A412" s="71" t="s">
        <v>5335</v>
      </c>
      <c r="B412" s="107" t="s">
        <v>4864</v>
      </c>
      <c r="C412" s="71" t="s">
        <v>5336</v>
      </c>
      <c r="D412" s="71" t="s">
        <v>5337</v>
      </c>
      <c r="E412" s="108"/>
      <c r="F412" s="109">
        <v>40071</v>
      </c>
      <c r="G412" s="109"/>
      <c r="H412" s="109" t="s">
        <v>1334</v>
      </c>
      <c r="I412" s="109">
        <v>40088</v>
      </c>
      <c r="J412" s="71"/>
      <c r="K412" s="110"/>
    </row>
    <row r="413" spans="1:11">
      <c r="A413" s="71" t="s">
        <v>5338</v>
      </c>
      <c r="B413" s="107" t="s">
        <v>2516</v>
      </c>
      <c r="C413" s="71" t="s">
        <v>4714</v>
      </c>
      <c r="D413" s="71" t="s">
        <v>5339</v>
      </c>
      <c r="E413" s="108">
        <v>147389.38</v>
      </c>
      <c r="F413" s="109">
        <v>40065</v>
      </c>
      <c r="G413" s="109">
        <v>40220</v>
      </c>
      <c r="H413" s="109">
        <v>40086</v>
      </c>
      <c r="I413" s="109">
        <v>40169</v>
      </c>
      <c r="J413" s="71"/>
      <c r="K413" s="110"/>
    </row>
    <row r="414" spans="1:11">
      <c r="A414" s="71" t="s">
        <v>5340</v>
      </c>
      <c r="B414" s="107" t="s">
        <v>5341</v>
      </c>
      <c r="C414" s="71" t="s">
        <v>5342</v>
      </c>
      <c r="D414" s="71" t="s">
        <v>5343</v>
      </c>
      <c r="E414" s="108">
        <v>3000000</v>
      </c>
      <c r="F414" s="109">
        <v>39979</v>
      </c>
      <c r="G414" s="109"/>
      <c r="H414" s="109">
        <v>39984</v>
      </c>
      <c r="I414" s="109"/>
      <c r="J414" s="71"/>
      <c r="K414" s="110"/>
    </row>
    <row r="415" spans="1:11" ht="22.5">
      <c r="A415" s="71" t="s">
        <v>5344</v>
      </c>
      <c r="B415" s="107" t="s">
        <v>2542</v>
      </c>
      <c r="C415" s="71" t="s">
        <v>1059</v>
      </c>
      <c r="D415" s="71" t="s">
        <v>5345</v>
      </c>
      <c r="E415" s="108">
        <v>186964</v>
      </c>
      <c r="F415" s="109">
        <v>39945</v>
      </c>
      <c r="G415" s="109">
        <v>40240</v>
      </c>
      <c r="H415" s="109">
        <v>39951</v>
      </c>
      <c r="I415" s="109" t="s">
        <v>4576</v>
      </c>
      <c r="J415" s="71"/>
      <c r="K415" s="110"/>
    </row>
    <row r="416" spans="1:11">
      <c r="A416" s="71" t="s">
        <v>1335</v>
      </c>
      <c r="B416" s="107" t="s">
        <v>1336</v>
      </c>
      <c r="C416" s="71" t="s">
        <v>1212</v>
      </c>
      <c r="D416" s="71" t="s">
        <v>1337</v>
      </c>
      <c r="E416" s="108">
        <v>391996</v>
      </c>
      <c r="F416" s="109">
        <v>39954</v>
      </c>
      <c r="G416" s="109"/>
      <c r="H416" s="109">
        <v>39958</v>
      </c>
      <c r="I416" s="109"/>
      <c r="J416" s="71"/>
      <c r="K416" s="110"/>
    </row>
    <row r="417" spans="1:11">
      <c r="A417" s="71" t="s">
        <v>1335</v>
      </c>
      <c r="B417" s="107"/>
      <c r="C417" s="71" t="s">
        <v>1338</v>
      </c>
      <c r="D417" s="71"/>
      <c r="E417" s="108">
        <v>82600</v>
      </c>
      <c r="F417" s="109">
        <v>39982</v>
      </c>
      <c r="G417" s="109"/>
      <c r="H417" s="109">
        <v>39986</v>
      </c>
      <c r="I417" s="109"/>
      <c r="J417" s="71"/>
      <c r="K417" s="110"/>
    </row>
    <row r="418" spans="1:11">
      <c r="A418" s="71" t="s">
        <v>1335</v>
      </c>
      <c r="B418" s="107"/>
      <c r="C418" s="71" t="s">
        <v>1339</v>
      </c>
      <c r="D418" s="71"/>
      <c r="E418" s="108">
        <v>168057</v>
      </c>
      <c r="F418" s="109">
        <v>40003</v>
      </c>
      <c r="G418" s="109"/>
      <c r="H418" s="109">
        <v>40014</v>
      </c>
      <c r="I418" s="109"/>
      <c r="J418" s="71"/>
      <c r="K418" s="110"/>
    </row>
    <row r="419" spans="1:11">
      <c r="A419" s="71" t="s">
        <v>1335</v>
      </c>
      <c r="B419" s="107"/>
      <c r="C419" s="71" t="s">
        <v>1340</v>
      </c>
      <c r="D419" s="71"/>
      <c r="E419" s="108">
        <v>72669</v>
      </c>
      <c r="F419" s="109">
        <v>39968</v>
      </c>
      <c r="G419" s="109"/>
      <c r="H419" s="109">
        <v>39972</v>
      </c>
      <c r="I419" s="109"/>
      <c r="J419" s="71"/>
      <c r="K419" s="110"/>
    </row>
    <row r="420" spans="1:11">
      <c r="A420" s="71" t="s">
        <v>1335</v>
      </c>
      <c r="B420" s="107"/>
      <c r="C420" s="71" t="s">
        <v>1341</v>
      </c>
      <c r="D420" s="71"/>
      <c r="E420" s="108">
        <v>178000</v>
      </c>
      <c r="F420" s="109">
        <v>39968</v>
      </c>
      <c r="G420" s="109"/>
      <c r="H420" s="109">
        <v>39987</v>
      </c>
      <c r="I420" s="109"/>
      <c r="J420" s="71"/>
      <c r="K420" s="110"/>
    </row>
    <row r="421" spans="1:11">
      <c r="A421" s="71" t="s">
        <v>1335</v>
      </c>
      <c r="B421" s="107"/>
      <c r="C421" s="71" t="s">
        <v>1342</v>
      </c>
      <c r="D421" s="71"/>
      <c r="E421" s="108">
        <v>260000</v>
      </c>
      <c r="F421" s="109">
        <v>39945</v>
      </c>
      <c r="G421" s="109"/>
      <c r="H421" s="109">
        <v>39952</v>
      </c>
      <c r="I421" s="109"/>
      <c r="J421" s="71"/>
      <c r="K421" s="110"/>
    </row>
    <row r="422" spans="1:11">
      <c r="A422" s="71" t="s">
        <v>1335</v>
      </c>
      <c r="B422" s="107"/>
      <c r="C422" s="71" t="s">
        <v>1229</v>
      </c>
      <c r="D422" s="71"/>
      <c r="E422" s="108">
        <v>210121</v>
      </c>
      <c r="F422" s="109">
        <v>40003</v>
      </c>
      <c r="G422" s="109"/>
      <c r="H422" s="109">
        <v>40008</v>
      </c>
      <c r="I422" s="109"/>
      <c r="J422" s="71"/>
      <c r="K422" s="110"/>
    </row>
    <row r="423" spans="1:11">
      <c r="A423" s="71" t="s">
        <v>1335</v>
      </c>
      <c r="B423" s="107"/>
      <c r="C423" s="71" t="s">
        <v>1137</v>
      </c>
      <c r="D423" s="71"/>
      <c r="E423" s="108">
        <v>27992</v>
      </c>
      <c r="F423" s="109">
        <v>40003</v>
      </c>
      <c r="G423" s="109"/>
      <c r="H423" s="109">
        <v>40008</v>
      </c>
      <c r="I423" s="109"/>
      <c r="J423" s="71"/>
      <c r="K423" s="110"/>
    </row>
    <row r="424" spans="1:11">
      <c r="A424" s="71" t="s">
        <v>1335</v>
      </c>
      <c r="B424" s="107"/>
      <c r="C424" s="71" t="s">
        <v>1052</v>
      </c>
      <c r="D424" s="71"/>
      <c r="E424" s="108">
        <v>207788</v>
      </c>
      <c r="F424" s="109">
        <v>39975</v>
      </c>
      <c r="G424" s="109"/>
      <c r="H424" s="109">
        <v>39968</v>
      </c>
      <c r="I424" s="109"/>
      <c r="J424" s="71"/>
      <c r="K424" s="110"/>
    </row>
    <row r="425" spans="1:11">
      <c r="A425" s="71" t="s">
        <v>1335</v>
      </c>
      <c r="B425" s="107"/>
      <c r="C425" s="71" t="s">
        <v>1343</v>
      </c>
      <c r="D425" s="71"/>
      <c r="E425" s="108">
        <v>95412</v>
      </c>
      <c r="F425" s="109">
        <v>40003</v>
      </c>
      <c r="G425" s="109"/>
      <c r="H425" s="109">
        <v>40014</v>
      </c>
      <c r="I425" s="109"/>
      <c r="J425" s="71"/>
      <c r="K425" s="110"/>
    </row>
    <row r="426" spans="1:11">
      <c r="A426" s="71" t="s">
        <v>1335</v>
      </c>
      <c r="B426" s="107"/>
      <c r="C426" s="71" t="s">
        <v>1344</v>
      </c>
      <c r="D426" s="71"/>
      <c r="E426" s="108">
        <v>86070</v>
      </c>
      <c r="F426" s="109">
        <v>39944</v>
      </c>
      <c r="G426" s="109"/>
      <c r="H426" s="109">
        <v>39946</v>
      </c>
      <c r="I426" s="109"/>
      <c r="J426" s="71"/>
      <c r="K426" s="110"/>
    </row>
    <row r="427" spans="1:11">
      <c r="A427" s="71" t="s">
        <v>1335</v>
      </c>
      <c r="B427" s="107"/>
      <c r="C427" s="71" t="s">
        <v>1345</v>
      </c>
      <c r="D427" s="71"/>
      <c r="E427" s="108">
        <v>36783</v>
      </c>
      <c r="F427" s="109">
        <v>40021</v>
      </c>
      <c r="G427" s="109"/>
      <c r="H427" s="109">
        <v>40023</v>
      </c>
      <c r="I427" s="109"/>
      <c r="J427" s="71"/>
      <c r="K427" s="110"/>
    </row>
    <row r="428" spans="1:11">
      <c r="A428" s="71" t="s">
        <v>1335</v>
      </c>
      <c r="B428" s="107"/>
      <c r="C428" s="71" t="s">
        <v>1346</v>
      </c>
      <c r="D428" s="71"/>
      <c r="E428" s="108">
        <v>136003</v>
      </c>
      <c r="F428" s="109">
        <v>40001</v>
      </c>
      <c r="G428" s="109"/>
      <c r="H428" s="109">
        <v>40007</v>
      </c>
      <c r="I428" s="109"/>
      <c r="J428" s="71"/>
      <c r="K428" s="110"/>
    </row>
    <row r="429" spans="1:11">
      <c r="A429" s="71" t="s">
        <v>1335</v>
      </c>
      <c r="B429" s="107"/>
      <c r="C429" s="71" t="s">
        <v>1347</v>
      </c>
      <c r="D429" s="71"/>
      <c r="E429" s="108">
        <v>2000000</v>
      </c>
      <c r="F429" s="109">
        <v>39979</v>
      </c>
      <c r="G429" s="109"/>
      <c r="H429" s="109">
        <v>39984</v>
      </c>
      <c r="I429" s="109"/>
      <c r="J429" s="71"/>
      <c r="K429" s="110"/>
    </row>
    <row r="430" spans="1:11" ht="22.5">
      <c r="A430" s="71" t="s">
        <v>1335</v>
      </c>
      <c r="B430" s="107"/>
      <c r="C430" s="71" t="s">
        <v>1348</v>
      </c>
      <c r="D430" s="71"/>
      <c r="E430" s="108">
        <v>25140</v>
      </c>
      <c r="F430" s="109">
        <v>40004</v>
      </c>
      <c r="G430" s="109"/>
      <c r="H430" s="109">
        <v>40009</v>
      </c>
      <c r="I430" s="109"/>
      <c r="J430" s="71"/>
      <c r="K430" s="110"/>
    </row>
    <row r="431" spans="1:11">
      <c r="A431" s="71" t="s">
        <v>1349</v>
      </c>
      <c r="B431" s="107" t="s">
        <v>1336</v>
      </c>
      <c r="C431" s="71" t="s">
        <v>1212</v>
      </c>
      <c r="D431" s="71" t="s">
        <v>1337</v>
      </c>
      <c r="E431" s="108">
        <v>68900</v>
      </c>
      <c r="F431" s="109">
        <v>40014</v>
      </c>
      <c r="G431" s="109"/>
      <c r="H431" s="109">
        <v>40015</v>
      </c>
      <c r="I431" s="109"/>
      <c r="J431" s="71"/>
      <c r="K431" s="110"/>
    </row>
    <row r="432" spans="1:11">
      <c r="A432" s="71" t="s">
        <v>1349</v>
      </c>
      <c r="B432" s="107"/>
      <c r="C432" s="71" t="s">
        <v>1340</v>
      </c>
      <c r="D432" s="71"/>
      <c r="E432" s="108">
        <v>55552</v>
      </c>
      <c r="F432" s="109">
        <v>40024</v>
      </c>
      <c r="G432" s="109"/>
      <c r="H432" s="109">
        <v>40029</v>
      </c>
      <c r="I432" s="109"/>
      <c r="J432" s="71"/>
      <c r="K432" s="110"/>
    </row>
    <row r="433" spans="1:11">
      <c r="A433" s="71" t="s">
        <v>1349</v>
      </c>
      <c r="B433" s="107"/>
      <c r="C433" s="71" t="s">
        <v>1341</v>
      </c>
      <c r="D433" s="71"/>
      <c r="E433" s="108">
        <v>278000</v>
      </c>
      <c r="F433" s="109">
        <v>40024</v>
      </c>
      <c r="G433" s="109"/>
      <c r="H433" s="109">
        <v>40030</v>
      </c>
      <c r="I433" s="109"/>
      <c r="J433" s="71"/>
      <c r="K433" s="110"/>
    </row>
    <row r="434" spans="1:11">
      <c r="A434" s="71" t="s">
        <v>1349</v>
      </c>
      <c r="B434" s="107"/>
      <c r="C434" s="71" t="s">
        <v>1341</v>
      </c>
      <c r="D434" s="71"/>
      <c r="E434" s="108">
        <v>84747</v>
      </c>
      <c r="F434" s="109">
        <v>40024</v>
      </c>
      <c r="G434" s="109"/>
      <c r="H434" s="109">
        <v>40030</v>
      </c>
      <c r="I434" s="109"/>
      <c r="J434" s="71"/>
      <c r="K434" s="110"/>
    </row>
    <row r="435" spans="1:11">
      <c r="A435" s="71" t="s">
        <v>1349</v>
      </c>
      <c r="B435" s="107"/>
      <c r="C435" s="71" t="s">
        <v>1350</v>
      </c>
      <c r="D435" s="71"/>
      <c r="E435" s="108">
        <v>127000</v>
      </c>
      <c r="F435" s="109">
        <v>40024</v>
      </c>
      <c r="G435" s="109"/>
      <c r="H435" s="109">
        <v>40030</v>
      </c>
      <c r="I435" s="109"/>
      <c r="J435" s="71"/>
      <c r="K435" s="110"/>
    </row>
    <row r="436" spans="1:11">
      <c r="A436" s="71" t="s">
        <v>1349</v>
      </c>
      <c r="B436" s="107"/>
      <c r="C436" s="71" t="s">
        <v>1351</v>
      </c>
      <c r="D436" s="71"/>
      <c r="E436" s="108">
        <v>529007</v>
      </c>
      <c r="F436" s="109">
        <v>40045</v>
      </c>
      <c r="G436" s="109"/>
      <c r="H436" s="109">
        <v>40050</v>
      </c>
      <c r="I436" s="109"/>
      <c r="J436" s="71"/>
      <c r="K436" s="110"/>
    </row>
    <row r="437" spans="1:11">
      <c r="A437" s="71" t="s">
        <v>1349</v>
      </c>
      <c r="B437" s="107"/>
      <c r="C437" s="71" t="s">
        <v>1352</v>
      </c>
      <c r="D437" s="71"/>
      <c r="E437" s="108">
        <v>128249</v>
      </c>
      <c r="F437" s="109">
        <v>40042</v>
      </c>
      <c r="G437" s="109"/>
      <c r="H437" s="109">
        <v>40044</v>
      </c>
      <c r="I437" s="109"/>
      <c r="J437" s="71"/>
      <c r="K437" s="110"/>
    </row>
    <row r="438" spans="1:11" ht="22.5">
      <c r="A438" s="71" t="s">
        <v>1349</v>
      </c>
      <c r="B438" s="107"/>
      <c r="C438" s="71" t="s">
        <v>2514</v>
      </c>
      <c r="D438" s="71"/>
      <c r="E438" s="108">
        <v>31387</v>
      </c>
      <c r="F438" s="109">
        <v>40064</v>
      </c>
      <c r="G438" s="109"/>
      <c r="H438" s="109">
        <v>40065</v>
      </c>
      <c r="I438" s="109"/>
      <c r="J438" s="71"/>
      <c r="K438" s="110"/>
    </row>
    <row r="439" spans="1:11">
      <c r="A439" s="71" t="s">
        <v>1349</v>
      </c>
      <c r="B439" s="107"/>
      <c r="C439" s="71" t="s">
        <v>1353</v>
      </c>
      <c r="D439" s="71"/>
      <c r="E439" s="108">
        <v>128249</v>
      </c>
      <c r="F439" s="109">
        <v>40044</v>
      </c>
      <c r="G439" s="109"/>
      <c r="H439" s="109"/>
      <c r="I439" s="109"/>
      <c r="J439" s="71"/>
      <c r="K439" s="110"/>
    </row>
    <row r="440" spans="1:11">
      <c r="A440" s="71" t="s">
        <v>1349</v>
      </c>
      <c r="B440" s="107"/>
      <c r="C440" s="71" t="s">
        <v>1347</v>
      </c>
      <c r="D440" s="71"/>
      <c r="E440" s="108">
        <v>36783</v>
      </c>
      <c r="F440" s="109">
        <v>40023</v>
      </c>
      <c r="G440" s="109"/>
      <c r="H440" s="109" t="s">
        <v>1354</v>
      </c>
      <c r="I440" s="109"/>
      <c r="J440" s="71"/>
      <c r="K440" s="110"/>
    </row>
    <row r="441" spans="1:11">
      <c r="A441" s="71" t="s">
        <v>5346</v>
      </c>
      <c r="B441" s="107" t="s">
        <v>5347</v>
      </c>
      <c r="C441" s="71" t="s">
        <v>5348</v>
      </c>
      <c r="D441" s="71"/>
      <c r="E441" s="108">
        <v>13832631</v>
      </c>
      <c r="F441" s="109"/>
      <c r="G441" s="109"/>
      <c r="H441" s="109" t="s">
        <v>5349</v>
      </c>
      <c r="I441" s="109"/>
      <c r="J441" s="71"/>
      <c r="K441" s="110"/>
    </row>
    <row r="442" spans="1:11">
      <c r="A442" s="71" t="s">
        <v>5350</v>
      </c>
      <c r="B442" s="107" t="s">
        <v>5347</v>
      </c>
      <c r="C442" s="71" t="s">
        <v>5351</v>
      </c>
      <c r="D442" s="71"/>
      <c r="E442" s="108">
        <v>4146405</v>
      </c>
      <c r="F442" s="109"/>
      <c r="G442" s="109"/>
      <c r="H442" s="109"/>
      <c r="I442" s="109"/>
      <c r="J442" s="71"/>
      <c r="K442" s="110"/>
    </row>
    <row r="443" spans="1:11">
      <c r="A443" s="71" t="s">
        <v>5352</v>
      </c>
      <c r="B443" s="107" t="s">
        <v>2507</v>
      </c>
      <c r="C443" s="71" t="s">
        <v>5353</v>
      </c>
      <c r="D443" s="71" t="s">
        <v>5354</v>
      </c>
      <c r="E443" s="108">
        <v>20739414</v>
      </c>
      <c r="F443" s="109">
        <v>40096</v>
      </c>
      <c r="G443" s="109"/>
      <c r="H443" s="109">
        <v>40035</v>
      </c>
      <c r="I443" s="109"/>
      <c r="J443" s="71"/>
      <c r="K443" s="110" t="s">
        <v>2877</v>
      </c>
    </row>
    <row r="444" spans="1:11">
      <c r="A444" s="17" t="s">
        <v>2494</v>
      </c>
      <c r="B444" s="107"/>
      <c r="C444" s="71"/>
      <c r="D444" s="71"/>
      <c r="E444" s="112">
        <f>SUM(E6:E443)</f>
        <v>427373376.99199998</v>
      </c>
      <c r="F444" s="109"/>
      <c r="G444" s="109"/>
      <c r="H444" s="109"/>
      <c r="I444" s="109"/>
      <c r="J444" s="71"/>
      <c r="K444" s="110"/>
    </row>
    <row r="445" spans="1:11">
      <c r="A445" s="71"/>
      <c r="B445" s="107"/>
      <c r="C445" s="71"/>
      <c r="D445" s="71"/>
      <c r="E445" s="108"/>
      <c r="F445" s="109"/>
      <c r="G445" s="109"/>
      <c r="H445" s="109"/>
      <c r="I445" s="109"/>
      <c r="J445" s="71"/>
      <c r="K445" s="110"/>
    </row>
    <row r="446" spans="1:11">
      <c r="A446" s="71"/>
      <c r="B446" s="107"/>
      <c r="C446" s="71"/>
      <c r="D446" s="71"/>
      <c r="E446" s="108"/>
      <c r="F446" s="109"/>
      <c r="G446" s="109"/>
      <c r="H446" s="109"/>
      <c r="I446" s="109"/>
      <c r="J446" s="71"/>
      <c r="K446" s="110"/>
    </row>
    <row r="447" spans="1:11">
      <c r="A447" s="71"/>
      <c r="B447" s="107"/>
      <c r="C447" s="71"/>
      <c r="D447" s="71"/>
      <c r="E447" s="108"/>
      <c r="F447" s="109"/>
      <c r="G447" s="109"/>
      <c r="H447" s="109"/>
      <c r="I447" s="109"/>
      <c r="J447" s="71"/>
      <c r="K447" s="110"/>
    </row>
    <row r="448" spans="1:11">
      <c r="A448" s="71"/>
      <c r="B448" s="107"/>
      <c r="C448" s="71"/>
      <c r="D448" s="71"/>
      <c r="E448" s="108"/>
      <c r="F448" s="109"/>
      <c r="G448" s="109"/>
      <c r="H448" s="109"/>
      <c r="I448" s="109"/>
      <c r="J448" s="71"/>
      <c r="K448" s="110"/>
    </row>
    <row r="449" spans="1:11">
      <c r="A449" s="17" t="s">
        <v>2495</v>
      </c>
      <c r="B449" s="107"/>
      <c r="C449" s="71"/>
      <c r="D449" s="96"/>
      <c r="E449" s="108"/>
      <c r="F449" s="109"/>
      <c r="G449" s="109"/>
      <c r="H449" s="109"/>
      <c r="I449" s="109"/>
      <c r="J449" s="71"/>
      <c r="K449" s="110"/>
    </row>
    <row r="450" spans="1:11">
      <c r="A450" s="71" t="s">
        <v>1355</v>
      </c>
      <c r="B450" s="107" t="s">
        <v>1301</v>
      </c>
      <c r="C450" s="71" t="s">
        <v>1356</v>
      </c>
      <c r="D450" s="71" t="s">
        <v>1357</v>
      </c>
      <c r="E450" s="108">
        <v>2223207</v>
      </c>
      <c r="F450" s="109">
        <v>40191</v>
      </c>
      <c r="G450" s="109"/>
      <c r="H450" s="109">
        <v>40203</v>
      </c>
      <c r="I450" s="109">
        <v>40212</v>
      </c>
      <c r="J450" s="71"/>
      <c r="K450" s="110" t="s">
        <v>2877</v>
      </c>
    </row>
    <row r="451" spans="1:11">
      <c r="A451" s="71" t="s">
        <v>1358</v>
      </c>
      <c r="B451" s="107" t="s">
        <v>1330</v>
      </c>
      <c r="C451" s="71" t="s">
        <v>1359</v>
      </c>
      <c r="D451" s="71" t="s">
        <v>1360</v>
      </c>
      <c r="E451" s="108">
        <v>2089000</v>
      </c>
      <c r="F451" s="109">
        <v>40184</v>
      </c>
      <c r="G451" s="109"/>
      <c r="H451" s="109">
        <v>40208</v>
      </c>
      <c r="I451" s="109">
        <v>40212</v>
      </c>
      <c r="J451" s="71"/>
      <c r="K451" s="110" t="s">
        <v>2877</v>
      </c>
    </row>
    <row r="452" spans="1:11">
      <c r="A452" s="71" t="s">
        <v>1361</v>
      </c>
      <c r="B452" s="107" t="s">
        <v>1362</v>
      </c>
      <c r="C452" s="71"/>
      <c r="D452" s="71" t="s">
        <v>1363</v>
      </c>
      <c r="E452" s="108">
        <v>10400000</v>
      </c>
      <c r="F452" s="109">
        <v>40087</v>
      </c>
      <c r="G452" s="109"/>
      <c r="H452" s="109">
        <v>40087</v>
      </c>
      <c r="I452" s="109"/>
      <c r="J452" s="71"/>
      <c r="K452" s="110"/>
    </row>
    <row r="453" spans="1:11">
      <c r="A453" s="71" t="s">
        <v>1364</v>
      </c>
      <c r="B453" s="107" t="s">
        <v>2507</v>
      </c>
      <c r="C453" s="71" t="s">
        <v>1365</v>
      </c>
      <c r="D453" s="71" t="s">
        <v>1366</v>
      </c>
      <c r="E453" s="108">
        <v>1696696</v>
      </c>
      <c r="F453" s="109">
        <v>40162</v>
      </c>
      <c r="G453" s="109"/>
      <c r="H453" s="109">
        <v>40205</v>
      </c>
      <c r="I453" s="109">
        <v>40235</v>
      </c>
      <c r="J453" s="71"/>
      <c r="K453" s="110"/>
    </row>
    <row r="454" spans="1:11">
      <c r="A454" s="71" t="s">
        <v>1367</v>
      </c>
      <c r="B454" s="107" t="s">
        <v>2507</v>
      </c>
      <c r="C454" s="71" t="s">
        <v>1365</v>
      </c>
      <c r="D454" s="71" t="s">
        <v>1368</v>
      </c>
      <c r="E454" s="108">
        <v>1589589</v>
      </c>
      <c r="F454" s="109">
        <v>40163</v>
      </c>
      <c r="G454" s="109"/>
      <c r="H454" s="109">
        <v>40205</v>
      </c>
      <c r="I454" s="109">
        <v>40235</v>
      </c>
      <c r="J454" s="71"/>
      <c r="K454" s="110"/>
    </row>
    <row r="455" spans="1:11">
      <c r="A455" s="71" t="s">
        <v>1369</v>
      </c>
      <c r="B455" s="107" t="s">
        <v>2507</v>
      </c>
      <c r="C455" s="71" t="s">
        <v>1370</v>
      </c>
      <c r="D455" s="71" t="s">
        <v>1371</v>
      </c>
      <c r="E455" s="108">
        <v>1363333</v>
      </c>
      <c r="F455" s="109">
        <v>40529</v>
      </c>
      <c r="G455" s="109"/>
      <c r="H455" s="109">
        <v>40205</v>
      </c>
      <c r="I455" s="109">
        <v>40235</v>
      </c>
      <c r="J455" s="71"/>
      <c r="K455" s="110"/>
    </row>
    <row r="456" spans="1:11">
      <c r="A456" s="71" t="s">
        <v>1372</v>
      </c>
      <c r="B456" s="107" t="s">
        <v>1373</v>
      </c>
      <c r="C456" s="71"/>
      <c r="D456" s="71" t="s">
        <v>1374</v>
      </c>
      <c r="E456" s="108">
        <v>2462300</v>
      </c>
      <c r="F456" s="109">
        <v>40087</v>
      </c>
      <c r="G456" s="109"/>
      <c r="H456" s="109">
        <v>40116</v>
      </c>
      <c r="I456" s="109"/>
      <c r="J456" s="71"/>
      <c r="K456" s="110"/>
    </row>
    <row r="457" spans="1:11">
      <c r="A457" s="71" t="s">
        <v>1375</v>
      </c>
      <c r="B457" s="107" t="s">
        <v>1376</v>
      </c>
      <c r="C457" s="71" t="s">
        <v>1212</v>
      </c>
      <c r="D457" s="71" t="s">
        <v>1377</v>
      </c>
      <c r="E457" s="108">
        <v>4000000</v>
      </c>
      <c r="F457" s="109">
        <v>40330</v>
      </c>
      <c r="G457" s="109"/>
      <c r="H457" s="109">
        <v>40210</v>
      </c>
      <c r="I457" s="109"/>
      <c r="J457" s="71"/>
      <c r="K457" s="110" t="s">
        <v>2877</v>
      </c>
    </row>
    <row r="458" spans="1:11" ht="22.5">
      <c r="A458" s="71"/>
      <c r="B458" s="107"/>
      <c r="C458" s="71" t="s">
        <v>1085</v>
      </c>
      <c r="D458" s="71"/>
      <c r="E458" s="108">
        <v>77256</v>
      </c>
      <c r="F458" s="109">
        <v>40151</v>
      </c>
      <c r="G458" s="109"/>
      <c r="H458" s="109">
        <v>40165</v>
      </c>
      <c r="I458" s="109">
        <v>40165</v>
      </c>
      <c r="J458" s="71"/>
      <c r="K458" s="110"/>
    </row>
    <row r="459" spans="1:11">
      <c r="A459" s="71" t="s">
        <v>1378</v>
      </c>
      <c r="B459" s="107" t="s">
        <v>2538</v>
      </c>
      <c r="C459" s="71" t="s">
        <v>1379</v>
      </c>
      <c r="D459" s="71" t="s">
        <v>1380</v>
      </c>
      <c r="E459" s="108">
        <v>81587.94</v>
      </c>
      <c r="F459" s="109">
        <v>40127</v>
      </c>
      <c r="G459" s="109"/>
      <c r="H459" s="109">
        <v>40129</v>
      </c>
      <c r="I459" s="109">
        <v>40135</v>
      </c>
      <c r="J459" s="71"/>
      <c r="K459" s="110"/>
    </row>
    <row r="460" spans="1:11">
      <c r="A460" s="71" t="s">
        <v>1381</v>
      </c>
      <c r="B460" s="107" t="s">
        <v>2538</v>
      </c>
      <c r="C460" s="71" t="s">
        <v>1365</v>
      </c>
      <c r="D460" s="71" t="s">
        <v>1382</v>
      </c>
      <c r="E460" s="108">
        <v>3686686</v>
      </c>
      <c r="F460" s="109">
        <v>40414</v>
      </c>
      <c r="G460" s="109"/>
      <c r="H460" s="109">
        <v>40421</v>
      </c>
      <c r="I460" s="109">
        <v>40417</v>
      </c>
      <c r="J460" s="71"/>
      <c r="K460" s="110"/>
    </row>
    <row r="461" spans="1:11">
      <c r="A461" s="71" t="s">
        <v>1383</v>
      </c>
      <c r="B461" s="107" t="s">
        <v>2538</v>
      </c>
      <c r="C461" s="71"/>
      <c r="D461" s="71" t="s">
        <v>1384</v>
      </c>
      <c r="E461" s="108">
        <v>5000000</v>
      </c>
      <c r="F461" s="109">
        <v>40274</v>
      </c>
      <c r="G461" s="109"/>
      <c r="H461" s="109">
        <v>40294</v>
      </c>
      <c r="I461" s="109"/>
      <c r="J461" s="71"/>
      <c r="K461" s="110"/>
    </row>
    <row r="462" spans="1:11">
      <c r="A462" s="71" t="s">
        <v>1385</v>
      </c>
      <c r="B462" s="107" t="s">
        <v>1386</v>
      </c>
      <c r="C462" s="71"/>
      <c r="D462" s="71" t="s">
        <v>1387</v>
      </c>
      <c r="E462" s="108">
        <v>1285000</v>
      </c>
      <c r="F462" s="109">
        <v>40118</v>
      </c>
      <c r="G462" s="109"/>
      <c r="H462" s="109">
        <v>40147</v>
      </c>
      <c r="I462" s="109"/>
      <c r="J462" s="71"/>
      <c r="K462" s="110"/>
    </row>
    <row r="463" spans="1:11">
      <c r="A463" s="71" t="s">
        <v>1388</v>
      </c>
      <c r="B463" s="107" t="s">
        <v>2509</v>
      </c>
      <c r="C463" s="71" t="s">
        <v>1389</v>
      </c>
      <c r="D463" s="71" t="s">
        <v>1390</v>
      </c>
      <c r="E463" s="108">
        <v>29825424</v>
      </c>
      <c r="F463" s="109">
        <v>40513</v>
      </c>
      <c r="G463" s="109"/>
      <c r="H463" s="109">
        <v>40161</v>
      </c>
      <c r="I463" s="109">
        <v>40199</v>
      </c>
      <c r="J463" s="71"/>
      <c r="K463" s="110"/>
    </row>
    <row r="464" spans="1:11">
      <c r="A464" s="71" t="s">
        <v>1391</v>
      </c>
      <c r="B464" s="107" t="s">
        <v>2509</v>
      </c>
      <c r="C464" s="71" t="s">
        <v>1392</v>
      </c>
      <c r="D464" s="71" t="s">
        <v>1393</v>
      </c>
      <c r="E464" s="108">
        <v>88490</v>
      </c>
      <c r="F464" s="109">
        <v>40087</v>
      </c>
      <c r="G464" s="109"/>
      <c r="H464" s="109">
        <v>40119</v>
      </c>
      <c r="I464" s="109">
        <v>40098</v>
      </c>
      <c r="J464" s="71"/>
      <c r="K464" s="110"/>
    </row>
    <row r="465" spans="1:11">
      <c r="A465" s="71" t="s">
        <v>1394</v>
      </c>
      <c r="B465" s="107" t="s">
        <v>2509</v>
      </c>
      <c r="C465" s="71" t="s">
        <v>1395</v>
      </c>
      <c r="D465" s="71" t="s">
        <v>1396</v>
      </c>
      <c r="E465" s="108">
        <v>27000000</v>
      </c>
      <c r="F465" s="109">
        <v>40115</v>
      </c>
      <c r="G465" s="109"/>
      <c r="H465" s="109">
        <v>40147</v>
      </c>
      <c r="I465" s="109"/>
      <c r="J465" s="71"/>
      <c r="K465" s="110"/>
    </row>
    <row r="466" spans="1:11">
      <c r="A466" s="71" t="s">
        <v>1397</v>
      </c>
      <c r="B466" s="107" t="s">
        <v>2541</v>
      </c>
      <c r="C466" s="71" t="s">
        <v>1058</v>
      </c>
      <c r="D466" s="71" t="s">
        <v>1398</v>
      </c>
      <c r="E466" s="108">
        <v>518146.5</v>
      </c>
      <c r="F466" s="109">
        <v>40091</v>
      </c>
      <c r="G466" s="109"/>
      <c r="H466" s="109">
        <v>40131</v>
      </c>
      <c r="I466" s="109"/>
      <c r="J466" s="71"/>
      <c r="K466" s="110"/>
    </row>
    <row r="467" spans="1:11">
      <c r="A467" s="71" t="s">
        <v>1399</v>
      </c>
      <c r="B467" s="107" t="s">
        <v>1400</v>
      </c>
      <c r="C467" s="71" t="s">
        <v>1401</v>
      </c>
      <c r="D467" s="71" t="s">
        <v>1402</v>
      </c>
      <c r="E467" s="108">
        <v>106690.72</v>
      </c>
      <c r="F467" s="109">
        <v>40115</v>
      </c>
      <c r="G467" s="109"/>
      <c r="H467" s="109">
        <v>40204</v>
      </c>
      <c r="I467" s="109">
        <v>40281</v>
      </c>
      <c r="J467" s="71"/>
      <c r="K467" s="110"/>
    </row>
    <row r="468" spans="1:11">
      <c r="A468" s="71" t="s">
        <v>1403</v>
      </c>
      <c r="B468" s="107" t="s">
        <v>2525</v>
      </c>
      <c r="C468" s="71" t="s">
        <v>1404</v>
      </c>
      <c r="D468" s="71" t="s">
        <v>1405</v>
      </c>
      <c r="E468" s="108">
        <v>156000</v>
      </c>
      <c r="F468" s="109">
        <v>40105</v>
      </c>
      <c r="G468" s="109"/>
      <c r="H468" s="109">
        <v>40108</v>
      </c>
      <c r="I468" s="109">
        <v>40108</v>
      </c>
      <c r="J468" s="71"/>
      <c r="K468" s="110"/>
    </row>
    <row r="469" spans="1:11">
      <c r="A469" s="71" t="s">
        <v>1406</v>
      </c>
      <c r="B469" s="107" t="s">
        <v>1149</v>
      </c>
      <c r="C469" s="71" t="s">
        <v>1099</v>
      </c>
      <c r="D469" s="71" t="s">
        <v>1407</v>
      </c>
      <c r="E469" s="108">
        <v>162505</v>
      </c>
      <c r="F469" s="109">
        <v>40372</v>
      </c>
      <c r="G469" s="109"/>
      <c r="H469" s="109">
        <v>40406</v>
      </c>
      <c r="I469" s="109">
        <v>40417</v>
      </c>
      <c r="J469" s="71"/>
      <c r="K469" s="110"/>
    </row>
    <row r="470" spans="1:11">
      <c r="A470" s="71" t="s">
        <v>1408</v>
      </c>
      <c r="B470" s="107" t="s">
        <v>2507</v>
      </c>
      <c r="C470" s="71"/>
      <c r="D470" s="71" t="s">
        <v>1409</v>
      </c>
      <c r="E470" s="108">
        <v>440000</v>
      </c>
      <c r="F470" s="109">
        <v>40422</v>
      </c>
      <c r="G470" s="109"/>
      <c r="H470" s="109">
        <v>40452</v>
      </c>
      <c r="I470" s="109"/>
      <c r="J470" s="71"/>
      <c r="K470" s="110"/>
    </row>
    <row r="471" spans="1:11">
      <c r="A471" s="71" t="s">
        <v>1410</v>
      </c>
      <c r="B471" s="107" t="s">
        <v>1411</v>
      </c>
      <c r="C471" s="71" t="s">
        <v>1412</v>
      </c>
      <c r="D471" s="71" t="s">
        <v>1413</v>
      </c>
      <c r="E471" s="108">
        <v>191465</v>
      </c>
      <c r="F471" s="109">
        <v>40101</v>
      </c>
      <c r="G471" s="109"/>
      <c r="H471" s="109">
        <v>40505</v>
      </c>
      <c r="I471" s="109">
        <v>40281</v>
      </c>
      <c r="J471" s="71"/>
      <c r="K471" s="110"/>
    </row>
    <row r="472" spans="1:11" ht="22.5">
      <c r="A472" s="71" t="s">
        <v>1414</v>
      </c>
      <c r="B472" s="107" t="s">
        <v>1415</v>
      </c>
      <c r="C472" s="71" t="s">
        <v>1416</v>
      </c>
      <c r="D472" s="71" t="s">
        <v>1417</v>
      </c>
      <c r="E472" s="108">
        <v>167131</v>
      </c>
      <c r="F472" s="109">
        <v>40092</v>
      </c>
      <c r="G472" s="109"/>
      <c r="H472" s="109">
        <v>40101</v>
      </c>
      <c r="I472" s="109"/>
      <c r="J472" s="71"/>
      <c r="K472" s="110"/>
    </row>
    <row r="473" spans="1:11" ht="22.5">
      <c r="A473" s="71" t="s">
        <v>1418</v>
      </c>
      <c r="B473" s="107" t="s">
        <v>1131</v>
      </c>
      <c r="C473" s="71" t="s">
        <v>1419</v>
      </c>
      <c r="D473" s="71" t="s">
        <v>1420</v>
      </c>
      <c r="E473" s="108">
        <v>98680</v>
      </c>
      <c r="F473" s="109">
        <v>40297</v>
      </c>
      <c r="G473" s="109"/>
      <c r="H473" s="109">
        <v>40311</v>
      </c>
      <c r="I473" s="109">
        <v>40350</v>
      </c>
      <c r="J473" s="71"/>
      <c r="K473" s="110"/>
    </row>
    <row r="474" spans="1:11">
      <c r="A474" s="71" t="s">
        <v>1421</v>
      </c>
      <c r="B474" s="107" t="s">
        <v>2507</v>
      </c>
      <c r="C474" s="71" t="s">
        <v>1422</v>
      </c>
      <c r="D474" s="71" t="s">
        <v>1423</v>
      </c>
      <c r="E474" s="108"/>
      <c r="F474" s="109">
        <v>40120</v>
      </c>
      <c r="G474" s="109"/>
      <c r="H474" s="109" t="s">
        <v>1424</v>
      </c>
      <c r="I474" s="109"/>
      <c r="J474" s="71"/>
      <c r="K474" s="110"/>
    </row>
    <row r="475" spans="1:11">
      <c r="A475" s="71" t="s">
        <v>1425</v>
      </c>
      <c r="B475" s="107" t="s">
        <v>1426</v>
      </c>
      <c r="C475" s="71" t="s">
        <v>1379</v>
      </c>
      <c r="D475" s="71" t="s">
        <v>1427</v>
      </c>
      <c r="E475" s="108">
        <v>519006</v>
      </c>
      <c r="F475" s="109">
        <v>40150</v>
      </c>
      <c r="G475" s="109"/>
      <c r="H475" s="109">
        <v>40191</v>
      </c>
      <c r="I475" s="109">
        <v>40210</v>
      </c>
      <c r="J475" s="71"/>
      <c r="K475" s="110"/>
    </row>
    <row r="476" spans="1:11">
      <c r="A476" s="71" t="s">
        <v>1428</v>
      </c>
      <c r="B476" s="107" t="s">
        <v>2527</v>
      </c>
      <c r="C476" s="71" t="s">
        <v>1429</v>
      </c>
      <c r="D476" s="71" t="s">
        <v>1430</v>
      </c>
      <c r="E476" s="108">
        <v>248500</v>
      </c>
      <c r="F476" s="109">
        <v>40184</v>
      </c>
      <c r="G476" s="109"/>
      <c r="H476" s="109">
        <v>40186</v>
      </c>
      <c r="I476" s="109">
        <v>40297</v>
      </c>
      <c r="J476" s="71"/>
      <c r="K476" s="110" t="s">
        <v>2877</v>
      </c>
    </row>
    <row r="477" spans="1:11">
      <c r="A477" s="71" t="s">
        <v>1431</v>
      </c>
      <c r="B477" s="107" t="s">
        <v>2504</v>
      </c>
      <c r="C477" s="71" t="s">
        <v>1432</v>
      </c>
      <c r="D477" s="71" t="s">
        <v>1433</v>
      </c>
      <c r="E477" s="108">
        <v>1781710</v>
      </c>
      <c r="F477" s="109">
        <v>40093</v>
      </c>
      <c r="G477" s="109">
        <v>40403</v>
      </c>
      <c r="H477" s="109">
        <v>40486</v>
      </c>
      <c r="I477" s="109">
        <v>40324</v>
      </c>
      <c r="J477" s="71"/>
      <c r="K477" s="110"/>
    </row>
    <row r="478" spans="1:11">
      <c r="A478" s="71" t="s">
        <v>1434</v>
      </c>
      <c r="B478" s="107" t="s">
        <v>1124</v>
      </c>
      <c r="C478" s="71" t="s">
        <v>1435</v>
      </c>
      <c r="D478" s="71" t="s">
        <v>1132</v>
      </c>
      <c r="E478" s="108">
        <v>818007</v>
      </c>
      <c r="F478" s="109">
        <v>40263</v>
      </c>
      <c r="G478" s="109"/>
      <c r="H478" s="109">
        <v>40275</v>
      </c>
      <c r="I478" s="109">
        <v>40281</v>
      </c>
      <c r="J478" s="71"/>
      <c r="K478" s="110"/>
    </row>
    <row r="479" spans="1:11">
      <c r="A479" s="71" t="s">
        <v>1436</v>
      </c>
      <c r="B479" s="107" t="s">
        <v>1153</v>
      </c>
      <c r="C479" s="71" t="s">
        <v>1437</v>
      </c>
      <c r="D479" s="71" t="s">
        <v>1438</v>
      </c>
      <c r="E479" s="108">
        <v>347555</v>
      </c>
      <c r="F479" s="109">
        <v>40092</v>
      </c>
      <c r="G479" s="109">
        <v>40415</v>
      </c>
      <c r="H479" s="109">
        <v>40415</v>
      </c>
      <c r="I479" s="109">
        <v>40415</v>
      </c>
      <c r="J479" s="71"/>
      <c r="K479" s="110"/>
    </row>
    <row r="480" spans="1:11">
      <c r="A480" s="71" t="s">
        <v>1439</v>
      </c>
      <c r="B480" s="107" t="s">
        <v>2509</v>
      </c>
      <c r="C480" s="71" t="s">
        <v>1440</v>
      </c>
      <c r="D480" s="71" t="s">
        <v>1441</v>
      </c>
      <c r="E480" s="108">
        <v>75409</v>
      </c>
      <c r="F480" s="109">
        <v>40120</v>
      </c>
      <c r="G480" s="109">
        <v>40324</v>
      </c>
      <c r="H480" s="109">
        <v>40126</v>
      </c>
      <c r="I480" s="109">
        <v>40127</v>
      </c>
      <c r="J480" s="71"/>
      <c r="K480" s="110"/>
    </row>
    <row r="481" spans="1:11">
      <c r="A481" s="71" t="s">
        <v>1442</v>
      </c>
      <c r="B481" s="107" t="s">
        <v>1124</v>
      </c>
      <c r="C481" s="71" t="s">
        <v>1435</v>
      </c>
      <c r="D481" s="71" t="s">
        <v>1443</v>
      </c>
      <c r="E481" s="108">
        <v>648007</v>
      </c>
      <c r="F481" s="109">
        <v>40263</v>
      </c>
      <c r="G481" s="109"/>
      <c r="H481" s="109">
        <v>40275</v>
      </c>
      <c r="I481" s="109">
        <v>40281</v>
      </c>
      <c r="J481" s="71"/>
      <c r="K481" s="110"/>
    </row>
    <row r="482" spans="1:11">
      <c r="A482" s="71" t="s">
        <v>1444</v>
      </c>
      <c r="B482" s="107" t="s">
        <v>1445</v>
      </c>
      <c r="C482" s="71" t="s">
        <v>1446</v>
      </c>
      <c r="D482" s="71" t="s">
        <v>1447</v>
      </c>
      <c r="E482" s="108">
        <v>2178199</v>
      </c>
      <c r="F482" s="109">
        <v>40092</v>
      </c>
      <c r="G482" s="109"/>
      <c r="H482" s="109">
        <v>40135</v>
      </c>
      <c r="I482" s="109">
        <v>40137</v>
      </c>
      <c r="J482" s="71"/>
      <c r="K482" s="110"/>
    </row>
    <row r="483" spans="1:11">
      <c r="A483" s="71" t="s">
        <v>1448</v>
      </c>
      <c r="B483" s="107" t="s">
        <v>2509</v>
      </c>
      <c r="C483" s="71" t="s">
        <v>1120</v>
      </c>
      <c r="D483" s="71" t="s">
        <v>1449</v>
      </c>
      <c r="E483" s="108">
        <v>148192.93</v>
      </c>
      <c r="F483" s="109">
        <v>40484</v>
      </c>
      <c r="G483" s="109">
        <v>40305</v>
      </c>
      <c r="H483" s="109">
        <v>40516</v>
      </c>
      <c r="I483" s="109">
        <v>40119</v>
      </c>
      <c r="J483" s="71"/>
      <c r="K483" s="110"/>
    </row>
    <row r="484" spans="1:11" ht="22.5">
      <c r="A484" s="71" t="s">
        <v>1450</v>
      </c>
      <c r="B484" s="107" t="s">
        <v>2528</v>
      </c>
      <c r="C484" s="71" t="s">
        <v>1451</v>
      </c>
      <c r="D484" s="71" t="s">
        <v>1452</v>
      </c>
      <c r="E484" s="108"/>
      <c r="F484" s="109" t="s">
        <v>1334</v>
      </c>
      <c r="G484" s="109"/>
      <c r="H484" s="109" t="s">
        <v>1334</v>
      </c>
      <c r="I484" s="109"/>
      <c r="J484" s="71"/>
      <c r="K484" s="110"/>
    </row>
    <row r="485" spans="1:11" ht="22.5">
      <c r="A485" s="71" t="s">
        <v>1453</v>
      </c>
      <c r="B485" s="107" t="s">
        <v>2543</v>
      </c>
      <c r="C485" s="71" t="s">
        <v>1454</v>
      </c>
      <c r="D485" s="71" t="s">
        <v>1455</v>
      </c>
      <c r="E485" s="108"/>
      <c r="F485" s="109">
        <v>40121</v>
      </c>
      <c r="G485" s="109">
        <v>40247</v>
      </c>
      <c r="H485" s="109">
        <v>40140</v>
      </c>
      <c r="I485" s="109">
        <v>40142</v>
      </c>
      <c r="J485" s="71" t="s">
        <v>2518</v>
      </c>
      <c r="K485" s="110"/>
    </row>
    <row r="486" spans="1:11">
      <c r="A486" s="71" t="s">
        <v>1456</v>
      </c>
      <c r="B486" s="107" t="s">
        <v>1326</v>
      </c>
      <c r="C486" s="71" t="s">
        <v>1412</v>
      </c>
      <c r="D486" s="71" t="s">
        <v>1457</v>
      </c>
      <c r="E486" s="108">
        <v>164585</v>
      </c>
      <c r="F486" s="109">
        <v>40109</v>
      </c>
      <c r="G486" s="109"/>
      <c r="H486" s="109">
        <v>40109</v>
      </c>
      <c r="I486" s="109">
        <v>40127</v>
      </c>
      <c r="J486" s="71"/>
      <c r="K486" s="110" t="s">
        <v>2877</v>
      </c>
    </row>
    <row r="487" spans="1:11">
      <c r="A487" s="71" t="s">
        <v>1458</v>
      </c>
      <c r="B487" s="107" t="s">
        <v>1459</v>
      </c>
      <c r="C487" s="71" t="s">
        <v>1460</v>
      </c>
      <c r="D487" s="71" t="s">
        <v>1461</v>
      </c>
      <c r="E487" s="108">
        <v>797831.28</v>
      </c>
      <c r="F487" s="109">
        <v>40240</v>
      </c>
      <c r="G487" s="109"/>
      <c r="H487" s="109">
        <v>40257</v>
      </c>
      <c r="I487" s="109">
        <v>40267</v>
      </c>
      <c r="J487" s="71"/>
      <c r="K487" s="110" t="s">
        <v>2877</v>
      </c>
    </row>
    <row r="488" spans="1:11">
      <c r="A488" s="71" t="s">
        <v>1462</v>
      </c>
      <c r="B488" s="107" t="s">
        <v>1213</v>
      </c>
      <c r="C488" s="71" t="s">
        <v>1463</v>
      </c>
      <c r="D488" s="71" t="s">
        <v>1464</v>
      </c>
      <c r="E488" s="108">
        <v>278115</v>
      </c>
      <c r="F488" s="109">
        <v>40269</v>
      </c>
      <c r="G488" s="109"/>
      <c r="H488" s="109">
        <v>40283</v>
      </c>
      <c r="I488" s="109">
        <v>40296</v>
      </c>
      <c r="J488" s="71"/>
      <c r="K488" s="110"/>
    </row>
    <row r="489" spans="1:11" ht="22.5">
      <c r="A489" s="71" t="s">
        <v>1465</v>
      </c>
      <c r="B489" s="107" t="s">
        <v>2524</v>
      </c>
      <c r="C489" s="71" t="s">
        <v>1466</v>
      </c>
      <c r="D489" s="71" t="s">
        <v>1467</v>
      </c>
      <c r="E489" s="108">
        <v>932949.57</v>
      </c>
      <c r="F489" s="109">
        <v>40162</v>
      </c>
      <c r="G489" s="109"/>
      <c r="H489" s="109">
        <v>39869</v>
      </c>
      <c r="I489" s="109">
        <v>40435</v>
      </c>
      <c r="J489" s="71"/>
      <c r="K489" s="110"/>
    </row>
    <row r="490" spans="1:11">
      <c r="A490" s="71" t="s">
        <v>1468</v>
      </c>
      <c r="B490" s="107" t="s">
        <v>2524</v>
      </c>
      <c r="C490" s="71"/>
      <c r="D490" s="71" t="s">
        <v>1469</v>
      </c>
      <c r="E490" s="108">
        <v>900000</v>
      </c>
      <c r="F490" s="109">
        <v>40162</v>
      </c>
      <c r="G490" s="109"/>
      <c r="H490" s="109" t="s">
        <v>1470</v>
      </c>
      <c r="I490" s="109"/>
      <c r="J490" s="71"/>
      <c r="K490" s="110"/>
    </row>
    <row r="491" spans="1:11">
      <c r="A491" s="71" t="s">
        <v>1471</v>
      </c>
      <c r="B491" s="107" t="s">
        <v>2538</v>
      </c>
      <c r="C491" s="71"/>
      <c r="D491" s="71" t="s">
        <v>1472</v>
      </c>
      <c r="E491" s="108">
        <v>1100000</v>
      </c>
      <c r="F491" s="109">
        <v>40212</v>
      </c>
      <c r="G491" s="109"/>
      <c r="H491" s="109">
        <v>40221</v>
      </c>
      <c r="I491" s="109"/>
      <c r="J491" s="71"/>
      <c r="K491" s="110"/>
    </row>
    <row r="492" spans="1:11">
      <c r="A492" s="71" t="s">
        <v>1473</v>
      </c>
      <c r="B492" s="107" t="s">
        <v>2538</v>
      </c>
      <c r="C492" s="71" t="s">
        <v>1365</v>
      </c>
      <c r="D492" s="71" t="s">
        <v>1474</v>
      </c>
      <c r="E492" s="108">
        <v>2220220</v>
      </c>
      <c r="F492" s="109">
        <v>40095</v>
      </c>
      <c r="G492" s="109"/>
      <c r="H492" s="109">
        <v>40098</v>
      </c>
      <c r="I492" s="109"/>
      <c r="J492" s="71"/>
      <c r="K492" s="110"/>
    </row>
    <row r="493" spans="1:11">
      <c r="A493" s="71" t="s">
        <v>1475</v>
      </c>
      <c r="B493" s="107" t="s">
        <v>1476</v>
      </c>
      <c r="C493" s="71"/>
      <c r="D493" s="71" t="s">
        <v>1477</v>
      </c>
      <c r="E493" s="108">
        <v>2220220</v>
      </c>
      <c r="F493" s="109">
        <v>40179</v>
      </c>
      <c r="G493" s="109"/>
      <c r="H493" s="109" t="s">
        <v>1478</v>
      </c>
      <c r="I493" s="109"/>
      <c r="J493" s="71"/>
      <c r="K493" s="110" t="s">
        <v>2877</v>
      </c>
    </row>
    <row r="494" spans="1:11">
      <c r="A494" s="71" t="s">
        <v>1479</v>
      </c>
      <c r="B494" s="107" t="s">
        <v>1326</v>
      </c>
      <c r="C494" s="71" t="s">
        <v>2518</v>
      </c>
      <c r="D494" s="71" t="s">
        <v>1480</v>
      </c>
      <c r="E494" s="108"/>
      <c r="F494" s="109">
        <v>40089</v>
      </c>
      <c r="G494" s="109"/>
      <c r="H494" s="109">
        <v>40109</v>
      </c>
      <c r="I494" s="109"/>
      <c r="J494" s="71"/>
      <c r="K494" s="110"/>
    </row>
    <row r="495" spans="1:11">
      <c r="A495" s="71" t="s">
        <v>1481</v>
      </c>
      <c r="B495" s="107" t="s">
        <v>2543</v>
      </c>
      <c r="C495" s="71" t="s">
        <v>1482</v>
      </c>
      <c r="D495" s="71" t="s">
        <v>1483</v>
      </c>
      <c r="E495" s="108">
        <v>649000</v>
      </c>
      <c r="F495" s="109">
        <v>40514</v>
      </c>
      <c r="G495" s="109"/>
      <c r="H495" s="109">
        <v>40280</v>
      </c>
      <c r="I495" s="109">
        <v>40389</v>
      </c>
      <c r="J495" s="71"/>
      <c r="K495" s="110" t="s">
        <v>2877</v>
      </c>
    </row>
    <row r="496" spans="1:11">
      <c r="A496" s="71" t="s">
        <v>1481</v>
      </c>
      <c r="B496" s="107"/>
      <c r="C496" s="71" t="s">
        <v>1482</v>
      </c>
      <c r="D496" s="71" t="s">
        <v>1484</v>
      </c>
      <c r="E496" s="108">
        <v>170855.79</v>
      </c>
      <c r="F496" s="109">
        <v>40149</v>
      </c>
      <c r="G496" s="109">
        <v>40428</v>
      </c>
      <c r="H496" s="109">
        <v>40231</v>
      </c>
      <c r="I496" s="109">
        <v>40232</v>
      </c>
      <c r="J496" s="71"/>
      <c r="K496" s="110"/>
    </row>
    <row r="497" spans="1:11">
      <c r="A497" s="71" t="s">
        <v>1481</v>
      </c>
      <c r="B497" s="107"/>
      <c r="C497" s="71" t="s">
        <v>1482</v>
      </c>
      <c r="D497" s="71" t="s">
        <v>1485</v>
      </c>
      <c r="E497" s="108">
        <v>174576</v>
      </c>
      <c r="F497" s="109">
        <v>40149</v>
      </c>
      <c r="G497" s="109"/>
      <c r="H497" s="109">
        <v>40231</v>
      </c>
      <c r="I497" s="109">
        <v>40232</v>
      </c>
      <c r="J497" s="71"/>
      <c r="K497" s="110"/>
    </row>
    <row r="498" spans="1:11">
      <c r="A498" s="71" t="s">
        <v>1486</v>
      </c>
      <c r="B498" s="107" t="s">
        <v>1487</v>
      </c>
      <c r="C498" s="71" t="s">
        <v>1051</v>
      </c>
      <c r="D498" s="71" t="s">
        <v>1488</v>
      </c>
      <c r="E498" s="108">
        <v>145343</v>
      </c>
      <c r="F498" s="109">
        <v>40176</v>
      </c>
      <c r="G498" s="109"/>
      <c r="H498" s="109">
        <v>40185</v>
      </c>
      <c r="I498" s="109">
        <v>40305</v>
      </c>
      <c r="J498" s="71"/>
      <c r="K498" s="110" t="s">
        <v>2877</v>
      </c>
    </row>
    <row r="499" spans="1:11">
      <c r="A499" s="71" t="s">
        <v>1489</v>
      </c>
      <c r="B499" s="107" t="s">
        <v>2538</v>
      </c>
      <c r="C499" s="71"/>
      <c r="D499" s="71" t="s">
        <v>1490</v>
      </c>
      <c r="E499" s="108">
        <v>1500000</v>
      </c>
      <c r="F499" s="109">
        <v>40089</v>
      </c>
      <c r="G499" s="109"/>
      <c r="H499" s="109">
        <v>40109</v>
      </c>
      <c r="I499" s="109"/>
      <c r="J499" s="71"/>
      <c r="K499" s="110" t="s">
        <v>2877</v>
      </c>
    </row>
    <row r="500" spans="1:11" ht="22.5">
      <c r="A500" s="71" t="s">
        <v>1491</v>
      </c>
      <c r="B500" s="107" t="s">
        <v>2520</v>
      </c>
      <c r="C500" s="71" t="s">
        <v>1492</v>
      </c>
      <c r="D500" s="71" t="s">
        <v>1493</v>
      </c>
      <c r="E500" s="108">
        <v>5383591</v>
      </c>
      <c r="F500" s="109">
        <v>40127</v>
      </c>
      <c r="G500" s="109"/>
      <c r="H500" s="109">
        <v>40140</v>
      </c>
      <c r="I500" s="109"/>
      <c r="J500" s="71"/>
      <c r="K500" s="110" t="s">
        <v>2877</v>
      </c>
    </row>
    <row r="501" spans="1:11">
      <c r="A501" s="71" t="s">
        <v>1494</v>
      </c>
      <c r="B501" s="107" t="s">
        <v>1063</v>
      </c>
      <c r="C501" s="71" t="s">
        <v>2523</v>
      </c>
      <c r="D501" s="71" t="s">
        <v>1495</v>
      </c>
      <c r="E501" s="108">
        <v>406669</v>
      </c>
      <c r="F501" s="109">
        <v>40367</v>
      </c>
      <c r="G501" s="109">
        <v>40409</v>
      </c>
      <c r="H501" s="109">
        <v>40199</v>
      </c>
      <c r="I501" s="109">
        <v>40410</v>
      </c>
      <c r="J501" s="71"/>
      <c r="K501" s="110" t="s">
        <v>2877</v>
      </c>
    </row>
    <row r="502" spans="1:11">
      <c r="A502" s="71" t="s">
        <v>1496</v>
      </c>
      <c r="B502" s="107" t="s">
        <v>1497</v>
      </c>
      <c r="C502" s="71"/>
      <c r="D502" s="71" t="s">
        <v>1498</v>
      </c>
      <c r="E502" s="108">
        <v>450000</v>
      </c>
      <c r="F502" s="109">
        <v>40299</v>
      </c>
      <c r="G502" s="109"/>
      <c r="H502" s="109">
        <v>40328</v>
      </c>
      <c r="I502" s="109"/>
      <c r="J502" s="71"/>
      <c r="K502" s="110"/>
    </row>
    <row r="503" spans="1:11" ht="22.5">
      <c r="A503" s="71" t="s">
        <v>1499</v>
      </c>
      <c r="B503" s="107" t="s">
        <v>1500</v>
      </c>
      <c r="C503" s="71" t="s">
        <v>1501</v>
      </c>
      <c r="D503" s="71" t="s">
        <v>1502</v>
      </c>
      <c r="E503" s="108">
        <v>315587</v>
      </c>
      <c r="F503" s="109">
        <v>40104</v>
      </c>
      <c r="G503" s="109"/>
      <c r="H503" s="109">
        <v>40155</v>
      </c>
      <c r="I503" s="109">
        <v>40162</v>
      </c>
      <c r="J503" s="71"/>
      <c r="K503" s="110" t="s">
        <v>2877</v>
      </c>
    </row>
    <row r="504" spans="1:11">
      <c r="A504" s="71" t="s">
        <v>1503</v>
      </c>
      <c r="B504" s="107" t="s">
        <v>1286</v>
      </c>
      <c r="C504" s="71" t="s">
        <v>1504</v>
      </c>
      <c r="D504" s="71" t="s">
        <v>1287</v>
      </c>
      <c r="E504" s="108">
        <v>91455</v>
      </c>
      <c r="F504" s="109">
        <v>40185</v>
      </c>
      <c r="G504" s="109"/>
      <c r="H504" s="109">
        <v>40199</v>
      </c>
      <c r="I504" s="109"/>
      <c r="J504" s="71"/>
      <c r="K504" s="110"/>
    </row>
    <row r="505" spans="1:11">
      <c r="A505" s="71" t="s">
        <v>1505</v>
      </c>
      <c r="B505" s="107" t="s">
        <v>2528</v>
      </c>
      <c r="C505" s="71" t="s">
        <v>1506</v>
      </c>
      <c r="D505" s="71" t="s">
        <v>1452</v>
      </c>
      <c r="E505" s="108">
        <v>238729</v>
      </c>
      <c r="F505" s="109" t="s">
        <v>1507</v>
      </c>
      <c r="G505" s="109">
        <v>40357</v>
      </c>
      <c r="H505" s="109">
        <v>40219</v>
      </c>
      <c r="I505" s="109">
        <v>40112</v>
      </c>
      <c r="J505" s="71"/>
      <c r="K505" s="110"/>
    </row>
    <row r="506" spans="1:11">
      <c r="A506" s="71" t="s">
        <v>1508</v>
      </c>
      <c r="B506" s="107" t="s">
        <v>2516</v>
      </c>
      <c r="C506" s="71" t="s">
        <v>1359</v>
      </c>
      <c r="D506" s="71" t="s">
        <v>1509</v>
      </c>
      <c r="E506" s="108">
        <v>245800</v>
      </c>
      <c r="F506" s="109">
        <v>40136</v>
      </c>
      <c r="G506" s="109"/>
      <c r="H506" s="109">
        <v>40155</v>
      </c>
      <c r="I506" s="109"/>
      <c r="J506" s="71"/>
      <c r="K506" s="110" t="s">
        <v>2877</v>
      </c>
    </row>
    <row r="507" spans="1:11">
      <c r="A507" s="71" t="s">
        <v>1510</v>
      </c>
      <c r="B507" s="107" t="s">
        <v>1122</v>
      </c>
      <c r="C507" s="71" t="s">
        <v>1511</v>
      </c>
      <c r="D507" s="71" t="s">
        <v>1512</v>
      </c>
      <c r="E507" s="108">
        <v>896663.4</v>
      </c>
      <c r="F507" s="109">
        <v>40189</v>
      </c>
      <c r="G507" s="109"/>
      <c r="H507" s="109">
        <v>40198</v>
      </c>
      <c r="I507" s="109">
        <v>40205</v>
      </c>
      <c r="J507" s="71"/>
      <c r="K507" s="110" t="s">
        <v>2877</v>
      </c>
    </row>
    <row r="508" spans="1:11">
      <c r="A508" s="71" t="s">
        <v>1513</v>
      </c>
      <c r="B508" s="107" t="s">
        <v>1487</v>
      </c>
      <c r="C508" s="71" t="s">
        <v>1051</v>
      </c>
      <c r="D508" s="71" t="s">
        <v>1514</v>
      </c>
      <c r="E508" s="108">
        <v>145343</v>
      </c>
      <c r="F508" s="109" t="s">
        <v>1515</v>
      </c>
      <c r="G508" s="109"/>
      <c r="H508" s="109">
        <v>40185</v>
      </c>
      <c r="I508" s="109">
        <v>40294</v>
      </c>
      <c r="J508" s="71"/>
      <c r="K508" s="110" t="s">
        <v>2877</v>
      </c>
    </row>
    <row r="509" spans="1:11">
      <c r="A509" s="71" t="s">
        <v>1516</v>
      </c>
      <c r="B509" s="107" t="s">
        <v>1517</v>
      </c>
      <c r="C509" s="71" t="s">
        <v>1518</v>
      </c>
      <c r="D509" s="71" t="s">
        <v>1519</v>
      </c>
      <c r="E509" s="108">
        <v>25000</v>
      </c>
      <c r="F509" s="109">
        <v>40089</v>
      </c>
      <c r="G509" s="109"/>
      <c r="H509" s="109">
        <v>40109</v>
      </c>
      <c r="I509" s="109"/>
      <c r="J509" s="71"/>
      <c r="K509" s="110" t="s">
        <v>2877</v>
      </c>
    </row>
    <row r="510" spans="1:11">
      <c r="A510" s="71" t="s">
        <v>1520</v>
      </c>
      <c r="B510" s="107" t="s">
        <v>1262</v>
      </c>
      <c r="C510" s="71" t="s">
        <v>1521</v>
      </c>
      <c r="D510" s="71" t="s">
        <v>1263</v>
      </c>
      <c r="E510" s="108">
        <v>600636.5</v>
      </c>
      <c r="F510" s="109">
        <v>40165</v>
      </c>
      <c r="G510" s="109"/>
      <c r="H510" s="109">
        <v>40185</v>
      </c>
      <c r="I510" s="109">
        <v>40205</v>
      </c>
      <c r="J510" s="71"/>
      <c r="K510" s="110" t="s">
        <v>2877</v>
      </c>
    </row>
    <row r="511" spans="1:11">
      <c r="A511" s="71" t="s">
        <v>1522</v>
      </c>
      <c r="B511" s="107" t="s">
        <v>2507</v>
      </c>
      <c r="C511" s="71" t="s">
        <v>1523</v>
      </c>
      <c r="D511" s="71" t="s">
        <v>1524</v>
      </c>
      <c r="E511" s="108"/>
      <c r="F511" s="109">
        <v>40148</v>
      </c>
      <c r="G511" s="109"/>
      <c r="H511" s="109">
        <v>40179</v>
      </c>
      <c r="I511" s="109"/>
      <c r="J511" s="71"/>
      <c r="K511" s="110" t="s">
        <v>2877</v>
      </c>
    </row>
    <row r="512" spans="1:11">
      <c r="A512" s="71" t="s">
        <v>1525</v>
      </c>
      <c r="B512" s="107" t="s">
        <v>2507</v>
      </c>
      <c r="C512" s="71" t="s">
        <v>1526</v>
      </c>
      <c r="D512" s="71" t="s">
        <v>1527</v>
      </c>
      <c r="E512" s="108">
        <v>385550</v>
      </c>
      <c r="F512" s="109">
        <v>40141</v>
      </c>
      <c r="G512" s="109"/>
      <c r="H512" s="109">
        <v>40163</v>
      </c>
      <c r="I512" s="109">
        <v>40185</v>
      </c>
      <c r="J512" s="71"/>
      <c r="K512" s="110" t="s">
        <v>2877</v>
      </c>
    </row>
    <row r="513" spans="1:11" ht="22.5">
      <c r="A513" s="71" t="s">
        <v>1528</v>
      </c>
      <c r="B513" s="107" t="s">
        <v>1476</v>
      </c>
      <c r="C513" s="71" t="s">
        <v>1529</v>
      </c>
      <c r="D513" s="71" t="s">
        <v>1477</v>
      </c>
      <c r="E513" s="108">
        <v>645777</v>
      </c>
      <c r="F513" s="109">
        <v>40163</v>
      </c>
      <c r="G513" s="109"/>
      <c r="H513" s="109">
        <v>40176</v>
      </c>
      <c r="I513" s="109">
        <v>40294</v>
      </c>
      <c r="J513" s="71"/>
      <c r="K513" s="110" t="s">
        <v>2877</v>
      </c>
    </row>
    <row r="514" spans="1:11">
      <c r="A514" s="71" t="s">
        <v>1530</v>
      </c>
      <c r="B514" s="107" t="s">
        <v>2538</v>
      </c>
      <c r="C514" s="71" t="s">
        <v>1077</v>
      </c>
      <c r="D514" s="71" t="s">
        <v>1531</v>
      </c>
      <c r="E514" s="108">
        <v>555000</v>
      </c>
      <c r="F514" s="109">
        <v>40150</v>
      </c>
      <c r="G514" s="109"/>
      <c r="H514" s="109">
        <v>40135</v>
      </c>
      <c r="I514" s="109">
        <v>40170</v>
      </c>
      <c r="J514" s="71"/>
      <c r="K514" s="110"/>
    </row>
    <row r="515" spans="1:11" ht="22.5">
      <c r="A515" s="71" t="s">
        <v>1532</v>
      </c>
      <c r="B515" s="107" t="s">
        <v>1060</v>
      </c>
      <c r="C515" s="71" t="s">
        <v>1533</v>
      </c>
      <c r="D515" s="71" t="s">
        <v>1534</v>
      </c>
      <c r="E515" s="108">
        <v>2995</v>
      </c>
      <c r="F515" s="109">
        <v>40141</v>
      </c>
      <c r="G515" s="109">
        <v>40168</v>
      </c>
      <c r="H515" s="109">
        <v>40163</v>
      </c>
      <c r="I515" s="109"/>
      <c r="J515" s="71"/>
      <c r="K515" s="110"/>
    </row>
    <row r="516" spans="1:11">
      <c r="A516" s="71" t="s">
        <v>1535</v>
      </c>
      <c r="B516" s="107" t="s">
        <v>2520</v>
      </c>
      <c r="C516" s="71" t="s">
        <v>1536</v>
      </c>
      <c r="D516" s="71" t="s">
        <v>1537</v>
      </c>
      <c r="E516" s="108">
        <v>307015</v>
      </c>
      <c r="F516" s="109">
        <v>40319</v>
      </c>
      <c r="G516" s="109"/>
      <c r="H516" s="109">
        <v>40340</v>
      </c>
      <c r="I516" s="109">
        <v>40345</v>
      </c>
      <c r="J516" s="71"/>
      <c r="K516" s="110" t="s">
        <v>2877</v>
      </c>
    </row>
    <row r="517" spans="1:11" ht="22.5">
      <c r="A517" s="71" t="s">
        <v>1538</v>
      </c>
      <c r="B517" s="107" t="s">
        <v>2520</v>
      </c>
      <c r="C517" s="71" t="s">
        <v>1539</v>
      </c>
      <c r="D517" s="71" t="s">
        <v>1540</v>
      </c>
      <c r="E517" s="108">
        <v>145000</v>
      </c>
      <c r="F517" s="109">
        <v>40318</v>
      </c>
      <c r="G517" s="109"/>
      <c r="H517" s="109">
        <v>40336</v>
      </c>
      <c r="I517" s="109">
        <v>40338</v>
      </c>
      <c r="J517" s="71"/>
      <c r="K517" s="110" t="s">
        <v>2877</v>
      </c>
    </row>
    <row r="518" spans="1:11">
      <c r="A518" s="71" t="s">
        <v>1541</v>
      </c>
      <c r="B518" s="107" t="s">
        <v>2520</v>
      </c>
      <c r="C518" s="71" t="s">
        <v>1542</v>
      </c>
      <c r="D518" s="71" t="s">
        <v>1543</v>
      </c>
      <c r="E518" s="108"/>
      <c r="F518" s="109" t="s">
        <v>1334</v>
      </c>
      <c r="G518" s="109"/>
      <c r="H518" s="109">
        <v>40122</v>
      </c>
      <c r="I518" s="109"/>
      <c r="J518" s="71"/>
      <c r="K518" s="110" t="s">
        <v>2877</v>
      </c>
    </row>
    <row r="519" spans="1:11">
      <c r="A519" s="71" t="s">
        <v>1544</v>
      </c>
      <c r="B519" s="107" t="s">
        <v>1221</v>
      </c>
      <c r="C519" s="71" t="s">
        <v>1545</v>
      </c>
      <c r="D519" s="71" t="s">
        <v>1546</v>
      </c>
      <c r="E519" s="108">
        <v>98000</v>
      </c>
      <c r="F519" s="109">
        <v>40141</v>
      </c>
      <c r="G519" s="109"/>
      <c r="H519" s="109">
        <v>40183</v>
      </c>
      <c r="I519" s="109">
        <v>40302</v>
      </c>
      <c r="J519" s="71"/>
      <c r="K519" s="110"/>
    </row>
    <row r="520" spans="1:11" ht="22.5">
      <c r="A520" s="71" t="s">
        <v>1547</v>
      </c>
      <c r="B520" s="107" t="s">
        <v>1061</v>
      </c>
      <c r="C520" s="71" t="s">
        <v>1548</v>
      </c>
      <c r="D520" s="71" t="s">
        <v>1549</v>
      </c>
      <c r="E520" s="108">
        <v>39600</v>
      </c>
      <c r="F520" s="109">
        <v>40164</v>
      </c>
      <c r="G520" s="109">
        <v>40225</v>
      </c>
      <c r="H520" s="109">
        <v>39818</v>
      </c>
      <c r="I520" s="109">
        <v>40184</v>
      </c>
      <c r="J520" s="71"/>
      <c r="K520" s="110"/>
    </row>
    <row r="521" spans="1:11">
      <c r="A521" s="71" t="s">
        <v>1550</v>
      </c>
      <c r="B521" s="107" t="s">
        <v>1551</v>
      </c>
      <c r="C521" s="71" t="s">
        <v>1552</v>
      </c>
      <c r="D521" s="71" t="s">
        <v>1553</v>
      </c>
      <c r="E521" s="108"/>
      <c r="F521" s="109">
        <v>40164</v>
      </c>
      <c r="G521" s="109"/>
      <c r="H521" s="109">
        <v>40183</v>
      </c>
      <c r="I521" s="109"/>
      <c r="J521" s="71"/>
      <c r="K521" s="110"/>
    </row>
    <row r="522" spans="1:11" ht="22.5">
      <c r="A522" s="71" t="s">
        <v>1554</v>
      </c>
      <c r="B522" s="107" t="s">
        <v>2509</v>
      </c>
      <c r="C522" s="71" t="s">
        <v>1419</v>
      </c>
      <c r="D522" s="71" t="s">
        <v>1555</v>
      </c>
      <c r="E522" s="108">
        <v>86015</v>
      </c>
      <c r="F522" s="109">
        <v>40141</v>
      </c>
      <c r="G522" s="109"/>
      <c r="H522" s="109">
        <v>40164</v>
      </c>
      <c r="I522" s="109"/>
      <c r="J522" s="71"/>
      <c r="K522" s="110" t="s">
        <v>2877</v>
      </c>
    </row>
    <row r="523" spans="1:11" ht="22.5">
      <c r="A523" s="71" t="s">
        <v>1556</v>
      </c>
      <c r="B523" s="107" t="s">
        <v>1557</v>
      </c>
      <c r="C523" s="71" t="s">
        <v>1558</v>
      </c>
      <c r="D523" s="71" t="s">
        <v>1559</v>
      </c>
      <c r="E523" s="108">
        <v>1015000</v>
      </c>
      <c r="F523" s="109">
        <v>40150</v>
      </c>
      <c r="G523" s="109"/>
      <c r="H523" s="109">
        <v>40157</v>
      </c>
      <c r="I523" s="109"/>
      <c r="J523" s="71"/>
      <c r="K523" s="110"/>
    </row>
    <row r="524" spans="1:11">
      <c r="A524" s="71" t="s">
        <v>1560</v>
      </c>
      <c r="B524" s="107" t="s">
        <v>1301</v>
      </c>
      <c r="C524" s="71"/>
      <c r="D524" s="71" t="s">
        <v>1561</v>
      </c>
      <c r="E524" s="108">
        <v>250000</v>
      </c>
      <c r="F524" s="109">
        <v>40136</v>
      </c>
      <c r="G524" s="109"/>
      <c r="H524" s="109">
        <v>40155</v>
      </c>
      <c r="I524" s="109"/>
      <c r="J524" s="71"/>
      <c r="K524" s="110"/>
    </row>
    <row r="525" spans="1:11">
      <c r="A525" s="71" t="s">
        <v>1562</v>
      </c>
      <c r="B525" s="107" t="s">
        <v>2509</v>
      </c>
      <c r="C525" s="71" t="s">
        <v>2526</v>
      </c>
      <c r="D525" s="71" t="s">
        <v>1563</v>
      </c>
      <c r="E525" s="108">
        <v>151750</v>
      </c>
      <c r="F525" s="109">
        <v>40127</v>
      </c>
      <c r="G525" s="109">
        <v>40322</v>
      </c>
      <c r="H525" s="109">
        <v>40140</v>
      </c>
      <c r="I525" s="109">
        <v>40150</v>
      </c>
      <c r="J525" s="71"/>
      <c r="K525" s="110" t="s">
        <v>2877</v>
      </c>
    </row>
    <row r="526" spans="1:11">
      <c r="A526" s="71" t="s">
        <v>1564</v>
      </c>
      <c r="B526" s="107" t="s">
        <v>1565</v>
      </c>
      <c r="C526" s="71" t="s">
        <v>1566</v>
      </c>
      <c r="D526" s="71" t="s">
        <v>1567</v>
      </c>
      <c r="E526" s="108">
        <v>20347</v>
      </c>
      <c r="F526" s="109">
        <v>40129</v>
      </c>
      <c r="G526" s="109">
        <v>40323</v>
      </c>
      <c r="H526" s="109">
        <v>40129</v>
      </c>
      <c r="I526" s="109">
        <v>40323</v>
      </c>
      <c r="J526" s="71"/>
      <c r="K526" s="110"/>
    </row>
    <row r="527" spans="1:11" ht="45">
      <c r="A527" s="71" t="s">
        <v>1568</v>
      </c>
      <c r="B527" s="107" t="s">
        <v>1301</v>
      </c>
      <c r="C527" s="71" t="s">
        <v>1257</v>
      </c>
      <c r="D527" s="71" t="s">
        <v>1569</v>
      </c>
      <c r="E527" s="108">
        <v>265020</v>
      </c>
      <c r="F527" s="109">
        <v>40253</v>
      </c>
      <c r="G527" s="109">
        <v>40305</v>
      </c>
      <c r="H527" s="109">
        <v>40260</v>
      </c>
      <c r="I527" s="109">
        <v>40260</v>
      </c>
      <c r="J527" s="71" t="s">
        <v>1570</v>
      </c>
      <c r="K527" s="110" t="s">
        <v>2877</v>
      </c>
    </row>
    <row r="528" spans="1:11">
      <c r="A528" s="71" t="s">
        <v>1571</v>
      </c>
      <c r="B528" s="107" t="s">
        <v>1068</v>
      </c>
      <c r="C528" s="71" t="s">
        <v>1572</v>
      </c>
      <c r="D528" s="71" t="s">
        <v>2206</v>
      </c>
      <c r="E528" s="108">
        <v>863134.5</v>
      </c>
      <c r="F528" s="109">
        <v>40242</v>
      </c>
      <c r="G528" s="109"/>
      <c r="H528" s="109">
        <v>40246</v>
      </c>
      <c r="I528" s="109">
        <v>40247</v>
      </c>
      <c r="J528" s="71"/>
      <c r="K528" s="110"/>
    </row>
    <row r="529" spans="1:11">
      <c r="A529" s="71" t="s">
        <v>2207</v>
      </c>
      <c r="B529" s="107" t="s">
        <v>1301</v>
      </c>
      <c r="C529" s="71" t="s">
        <v>2208</v>
      </c>
      <c r="D529" s="71" t="s">
        <v>2209</v>
      </c>
      <c r="E529" s="108"/>
      <c r="F529" s="109">
        <v>40129</v>
      </c>
      <c r="G529" s="109"/>
      <c r="H529" s="109">
        <v>40129</v>
      </c>
      <c r="I529" s="109"/>
      <c r="J529" s="71"/>
      <c r="K529" s="110" t="s">
        <v>2877</v>
      </c>
    </row>
    <row r="530" spans="1:11">
      <c r="A530" s="71" t="s">
        <v>2210</v>
      </c>
      <c r="B530" s="107" t="s">
        <v>2516</v>
      </c>
      <c r="C530" s="71" t="s">
        <v>2211</v>
      </c>
      <c r="D530" s="71" t="s">
        <v>2212</v>
      </c>
      <c r="E530" s="108">
        <v>309674.05</v>
      </c>
      <c r="F530" s="109">
        <v>40164</v>
      </c>
      <c r="G530" s="109">
        <v>40415</v>
      </c>
      <c r="H530" s="109">
        <v>40177</v>
      </c>
      <c r="I530" s="109">
        <v>40177</v>
      </c>
      <c r="J530" s="71"/>
      <c r="K530" s="110" t="s">
        <v>2877</v>
      </c>
    </row>
    <row r="531" spans="1:11">
      <c r="A531" s="71" t="s">
        <v>2220</v>
      </c>
      <c r="B531" s="107" t="s">
        <v>2537</v>
      </c>
      <c r="C531" s="75">
        <v>40303</v>
      </c>
      <c r="D531" s="71" t="s">
        <v>1</v>
      </c>
      <c r="E531" s="108">
        <v>750000</v>
      </c>
      <c r="F531" s="109">
        <v>40214</v>
      </c>
      <c r="G531" s="109"/>
      <c r="H531" s="109">
        <v>40246</v>
      </c>
      <c r="I531" s="109"/>
      <c r="J531" s="71"/>
      <c r="K531" s="110" t="s">
        <v>2877</v>
      </c>
    </row>
    <row r="532" spans="1:11">
      <c r="A532" s="71" t="s">
        <v>2</v>
      </c>
      <c r="B532" s="107" t="s">
        <v>2543</v>
      </c>
      <c r="C532" s="71" t="s">
        <v>2526</v>
      </c>
      <c r="D532" s="71" t="s">
        <v>3</v>
      </c>
      <c r="E532" s="108">
        <v>296900</v>
      </c>
      <c r="F532" s="109">
        <v>40515</v>
      </c>
      <c r="G532" s="109"/>
      <c r="H532" s="109">
        <v>40189</v>
      </c>
      <c r="I532" s="109">
        <v>40198</v>
      </c>
      <c r="J532" s="71"/>
      <c r="K532" s="110" t="s">
        <v>2877</v>
      </c>
    </row>
    <row r="533" spans="1:11">
      <c r="A533" s="71" t="s">
        <v>4</v>
      </c>
      <c r="B533" s="107" t="s">
        <v>1063</v>
      </c>
      <c r="C533" s="71" t="s">
        <v>5</v>
      </c>
      <c r="D533" s="71" t="s">
        <v>6</v>
      </c>
      <c r="E533" s="108">
        <v>635097</v>
      </c>
      <c r="F533" s="109">
        <v>40235</v>
      </c>
      <c r="G533" s="109"/>
      <c r="H533" s="109">
        <v>40248</v>
      </c>
      <c r="I533" s="109">
        <v>40248</v>
      </c>
      <c r="J533" s="71"/>
      <c r="K533" s="110"/>
    </row>
    <row r="534" spans="1:11">
      <c r="A534" s="71" t="s">
        <v>7</v>
      </c>
      <c r="B534" s="107" t="s">
        <v>8</v>
      </c>
      <c r="C534" s="71" t="s">
        <v>9</v>
      </c>
      <c r="D534" s="71" t="s">
        <v>10</v>
      </c>
      <c r="E534" s="108">
        <v>3200000</v>
      </c>
      <c r="F534" s="109">
        <v>40164</v>
      </c>
      <c r="G534" s="109"/>
      <c r="H534" s="109">
        <v>40182</v>
      </c>
      <c r="I534" s="109"/>
      <c r="J534" s="71"/>
      <c r="K534" s="110"/>
    </row>
    <row r="535" spans="1:11">
      <c r="A535" s="71" t="s">
        <v>11</v>
      </c>
      <c r="B535" s="107" t="s">
        <v>1063</v>
      </c>
      <c r="C535" s="71" t="s">
        <v>1098</v>
      </c>
      <c r="D535" s="71" t="s">
        <v>12</v>
      </c>
      <c r="E535" s="108">
        <v>470585</v>
      </c>
      <c r="F535" s="109">
        <v>40234</v>
      </c>
      <c r="G535" s="109"/>
      <c r="H535" s="109">
        <v>40248</v>
      </c>
      <c r="I535" s="109">
        <v>40248</v>
      </c>
      <c r="J535" s="71"/>
      <c r="K535" s="110"/>
    </row>
    <row r="536" spans="1:11">
      <c r="A536" s="71" t="s">
        <v>13</v>
      </c>
      <c r="B536" s="107" t="s">
        <v>2543</v>
      </c>
      <c r="C536" s="71" t="s">
        <v>1365</v>
      </c>
      <c r="D536" s="71" t="s">
        <v>14</v>
      </c>
      <c r="E536" s="108">
        <v>171171</v>
      </c>
      <c r="F536" s="109">
        <v>40528</v>
      </c>
      <c r="G536" s="109"/>
      <c r="H536" s="109">
        <v>40189</v>
      </c>
      <c r="I536" s="109">
        <v>40198</v>
      </c>
      <c r="J536" s="71"/>
      <c r="K536" s="110" t="s">
        <v>2877</v>
      </c>
    </row>
    <row r="537" spans="1:11">
      <c r="A537" s="71" t="s">
        <v>15</v>
      </c>
      <c r="B537" s="107" t="s">
        <v>1301</v>
      </c>
      <c r="C537" s="71" t="s">
        <v>2208</v>
      </c>
      <c r="D537" s="71" t="s">
        <v>16</v>
      </c>
      <c r="E537" s="108"/>
      <c r="F537" s="109">
        <v>40151</v>
      </c>
      <c r="G537" s="109"/>
      <c r="H537" s="109">
        <v>40175</v>
      </c>
      <c r="I537" s="109"/>
      <c r="J537" s="71"/>
      <c r="K537" s="110"/>
    </row>
    <row r="538" spans="1:11">
      <c r="A538" s="71" t="s">
        <v>17</v>
      </c>
      <c r="B538" s="107" t="s">
        <v>2537</v>
      </c>
      <c r="C538" s="71" t="s">
        <v>2532</v>
      </c>
      <c r="D538" s="71" t="s">
        <v>18</v>
      </c>
      <c r="E538" s="108">
        <v>835274</v>
      </c>
      <c r="F538" s="109">
        <v>40192</v>
      </c>
      <c r="G538" s="109"/>
      <c r="H538" s="109">
        <v>40211</v>
      </c>
      <c r="I538" s="109">
        <v>40219</v>
      </c>
      <c r="J538" s="71"/>
      <c r="K538" s="110" t="s">
        <v>2877</v>
      </c>
    </row>
    <row r="539" spans="1:11">
      <c r="A539" s="71" t="s">
        <v>19</v>
      </c>
      <c r="B539" s="107" t="s">
        <v>2527</v>
      </c>
      <c r="C539" s="71" t="s">
        <v>1429</v>
      </c>
      <c r="D539" s="71" t="s">
        <v>20</v>
      </c>
      <c r="E539" s="108">
        <v>248500</v>
      </c>
      <c r="F539" s="109">
        <v>40529</v>
      </c>
      <c r="G539" s="109"/>
      <c r="H539" s="109">
        <v>40184</v>
      </c>
      <c r="I539" s="109">
        <v>40213</v>
      </c>
      <c r="J539" s="71"/>
      <c r="K539" s="110" t="s">
        <v>2877</v>
      </c>
    </row>
    <row r="540" spans="1:11">
      <c r="A540" s="71" t="s">
        <v>21</v>
      </c>
      <c r="B540" s="107" t="s">
        <v>2536</v>
      </c>
      <c r="C540" s="71" t="s">
        <v>22</v>
      </c>
      <c r="D540" s="71" t="s">
        <v>23</v>
      </c>
      <c r="E540" s="108">
        <v>106100</v>
      </c>
      <c r="F540" s="109">
        <v>40186</v>
      </c>
      <c r="G540" s="109"/>
      <c r="H540" s="109">
        <v>40298</v>
      </c>
      <c r="I540" s="109">
        <v>40305</v>
      </c>
      <c r="J540" s="71"/>
      <c r="K540" s="110" t="s">
        <v>2877</v>
      </c>
    </row>
    <row r="541" spans="1:11">
      <c r="A541" s="71" t="s">
        <v>24</v>
      </c>
      <c r="B541" s="107" t="s">
        <v>2504</v>
      </c>
      <c r="C541" s="71"/>
      <c r="D541" s="71" t="s">
        <v>25</v>
      </c>
      <c r="E541" s="108">
        <v>330000</v>
      </c>
      <c r="F541" s="109">
        <v>40148</v>
      </c>
      <c r="G541" s="109"/>
      <c r="H541" s="109">
        <v>40179</v>
      </c>
      <c r="I541" s="109"/>
      <c r="J541" s="71"/>
      <c r="K541" s="110" t="s">
        <v>2877</v>
      </c>
    </row>
    <row r="542" spans="1:11">
      <c r="A542" s="71" t="s">
        <v>26</v>
      </c>
      <c r="B542" s="107" t="s">
        <v>27</v>
      </c>
      <c r="C542" s="71" t="s">
        <v>1435</v>
      </c>
      <c r="D542" s="71" t="s">
        <v>28</v>
      </c>
      <c r="E542" s="108" t="s">
        <v>29</v>
      </c>
      <c r="F542" s="109">
        <v>40288</v>
      </c>
      <c r="G542" s="109"/>
      <c r="H542" s="109">
        <v>40304</v>
      </c>
      <c r="I542" s="109">
        <v>40305</v>
      </c>
      <c r="J542" s="71"/>
      <c r="K542" s="110" t="s">
        <v>2877</v>
      </c>
    </row>
    <row r="543" spans="1:11">
      <c r="A543" s="71" t="s">
        <v>30</v>
      </c>
      <c r="B543" s="107" t="s">
        <v>1426</v>
      </c>
      <c r="C543" s="71" t="s">
        <v>31</v>
      </c>
      <c r="D543" s="71" t="s">
        <v>32</v>
      </c>
      <c r="E543" s="108">
        <v>722460</v>
      </c>
      <c r="F543" s="109">
        <v>40534</v>
      </c>
      <c r="G543" s="109"/>
      <c r="H543" s="109">
        <v>40190</v>
      </c>
      <c r="I543" s="109">
        <v>40304</v>
      </c>
      <c r="J543" s="71"/>
      <c r="K543" s="110" t="s">
        <v>2877</v>
      </c>
    </row>
    <row r="544" spans="1:11" ht="22.5">
      <c r="A544" s="71" t="s">
        <v>33</v>
      </c>
      <c r="B544" s="107" t="s">
        <v>34</v>
      </c>
      <c r="C544" s="71" t="s">
        <v>1059</v>
      </c>
      <c r="D544" s="71" t="s">
        <v>35</v>
      </c>
      <c r="E544" s="108">
        <v>446900</v>
      </c>
      <c r="F544" s="109">
        <v>40169</v>
      </c>
      <c r="G544" s="109">
        <v>40422</v>
      </c>
      <c r="H544" s="109">
        <v>40184</v>
      </c>
      <c r="I544" s="109">
        <v>40189</v>
      </c>
      <c r="J544" s="71"/>
      <c r="K544" s="110" t="s">
        <v>2877</v>
      </c>
    </row>
    <row r="545" spans="1:11">
      <c r="A545" s="71" t="s">
        <v>36</v>
      </c>
      <c r="B545" s="107" t="s">
        <v>34</v>
      </c>
      <c r="C545" s="71" t="s">
        <v>37</v>
      </c>
      <c r="D545" s="71" t="s">
        <v>38</v>
      </c>
      <c r="E545" s="108">
        <v>1565000</v>
      </c>
      <c r="F545" s="109">
        <v>40207</v>
      </c>
      <c r="G545" s="109"/>
      <c r="H545" s="109">
        <v>40210</v>
      </c>
      <c r="I545" s="109">
        <v>40211</v>
      </c>
      <c r="J545" s="71"/>
      <c r="K545" s="110" t="s">
        <v>2877</v>
      </c>
    </row>
    <row r="546" spans="1:11">
      <c r="A546" s="71" t="s">
        <v>39</v>
      </c>
      <c r="B546" s="107" t="s">
        <v>2509</v>
      </c>
      <c r="C546" s="71" t="s">
        <v>40</v>
      </c>
      <c r="D546" s="71" t="s">
        <v>41</v>
      </c>
      <c r="E546" s="108">
        <v>284248</v>
      </c>
      <c r="F546" s="109">
        <v>40183</v>
      </c>
      <c r="G546" s="109">
        <v>40420</v>
      </c>
      <c r="H546" s="109" t="s">
        <v>42</v>
      </c>
      <c r="I546" s="109">
        <v>40185</v>
      </c>
      <c r="J546" s="71"/>
      <c r="K546" s="110" t="s">
        <v>2877</v>
      </c>
    </row>
    <row r="547" spans="1:11" ht="22.5">
      <c r="A547" s="71" t="s">
        <v>43</v>
      </c>
      <c r="B547" s="107" t="s">
        <v>1124</v>
      </c>
      <c r="C547" s="71" t="s">
        <v>44</v>
      </c>
      <c r="D547" s="71" t="s">
        <v>45</v>
      </c>
      <c r="E547" s="108">
        <v>95777</v>
      </c>
      <c r="F547" s="109">
        <v>40207</v>
      </c>
      <c r="G547" s="109">
        <v>40343</v>
      </c>
      <c r="H547" s="109">
        <v>40211</v>
      </c>
      <c r="I547" s="109">
        <v>40303</v>
      </c>
      <c r="J547" s="71" t="s">
        <v>2518</v>
      </c>
      <c r="K547" s="110" t="s">
        <v>2877</v>
      </c>
    </row>
    <row r="548" spans="1:11">
      <c r="A548" s="71" t="s">
        <v>46</v>
      </c>
      <c r="B548" s="107" t="s">
        <v>1122</v>
      </c>
      <c r="C548" s="71" t="s">
        <v>47</v>
      </c>
      <c r="D548" s="71" t="s">
        <v>48</v>
      </c>
      <c r="E548" s="108">
        <v>370073</v>
      </c>
      <c r="F548" s="109">
        <v>40169</v>
      </c>
      <c r="G548" s="109"/>
      <c r="H548" s="109">
        <v>40184</v>
      </c>
      <c r="I548" s="109"/>
      <c r="J548" s="71"/>
      <c r="K548" s="110" t="s">
        <v>2877</v>
      </c>
    </row>
    <row r="549" spans="1:11">
      <c r="A549" s="71" t="s">
        <v>49</v>
      </c>
      <c r="B549" s="107" t="s">
        <v>50</v>
      </c>
      <c r="C549" s="71" t="s">
        <v>51</v>
      </c>
      <c r="D549" s="71" t="s">
        <v>52</v>
      </c>
      <c r="E549" s="108">
        <v>348259</v>
      </c>
      <c r="F549" s="109">
        <v>40239</v>
      </c>
      <c r="G549" s="109"/>
      <c r="H549" s="109">
        <v>40260</v>
      </c>
      <c r="I549" s="109">
        <v>40304</v>
      </c>
      <c r="J549" s="71"/>
      <c r="K549" s="110"/>
    </row>
    <row r="550" spans="1:11">
      <c r="A550" s="71" t="s">
        <v>53</v>
      </c>
      <c r="B550" s="107" t="s">
        <v>2520</v>
      </c>
      <c r="C550" s="71" t="s">
        <v>54</v>
      </c>
      <c r="D550" s="71" t="s">
        <v>55</v>
      </c>
      <c r="E550" s="108">
        <v>239000</v>
      </c>
      <c r="F550" s="109">
        <v>40207</v>
      </c>
      <c r="G550" s="109">
        <v>40415</v>
      </c>
      <c r="H550" s="109">
        <v>40221</v>
      </c>
      <c r="I550" s="109">
        <v>40289</v>
      </c>
      <c r="J550" s="71"/>
      <c r="K550" s="110"/>
    </row>
    <row r="551" spans="1:11">
      <c r="A551" s="71" t="s">
        <v>56</v>
      </c>
      <c r="B551" s="107" t="s">
        <v>2520</v>
      </c>
      <c r="C551" s="71"/>
      <c r="D551" s="71" t="s">
        <v>57</v>
      </c>
      <c r="E551" s="108">
        <v>125000</v>
      </c>
      <c r="F551" s="109">
        <v>40106</v>
      </c>
      <c r="G551" s="109"/>
      <c r="H551" s="109">
        <v>40137</v>
      </c>
      <c r="I551" s="109">
        <v>40149</v>
      </c>
      <c r="J551" s="71"/>
      <c r="K551" s="110" t="s">
        <v>2877</v>
      </c>
    </row>
    <row r="552" spans="1:11" ht="22.5">
      <c r="A552" s="71" t="s">
        <v>58</v>
      </c>
      <c r="B552" s="107" t="s">
        <v>59</v>
      </c>
      <c r="C552" s="71" t="s">
        <v>60</v>
      </c>
      <c r="D552" s="71" t="s">
        <v>61</v>
      </c>
      <c r="E552" s="108">
        <v>71775</v>
      </c>
      <c r="F552" s="109">
        <v>40185</v>
      </c>
      <c r="G552" s="109"/>
      <c r="H552" s="109">
        <v>40192</v>
      </c>
      <c r="I552" s="109">
        <v>40214</v>
      </c>
      <c r="J552" s="71"/>
      <c r="K552" s="110"/>
    </row>
    <row r="553" spans="1:11">
      <c r="A553" s="71" t="s">
        <v>62</v>
      </c>
      <c r="B553" s="107" t="s">
        <v>63</v>
      </c>
      <c r="C553" s="71"/>
      <c r="D553" s="71" t="s">
        <v>64</v>
      </c>
      <c r="E553" s="108">
        <v>16000000</v>
      </c>
      <c r="F553" s="109">
        <v>40226</v>
      </c>
      <c r="G553" s="109"/>
      <c r="H553" s="109">
        <v>40234</v>
      </c>
      <c r="I553" s="109"/>
      <c r="J553" s="71"/>
      <c r="K553" s="110" t="s">
        <v>2877</v>
      </c>
    </row>
    <row r="554" spans="1:11">
      <c r="A554" s="71" t="s">
        <v>65</v>
      </c>
      <c r="B554" s="107" t="s">
        <v>2542</v>
      </c>
      <c r="C554" s="71" t="s">
        <v>66</v>
      </c>
      <c r="D554" s="71" t="s">
        <v>67</v>
      </c>
      <c r="E554" s="108">
        <v>1991106</v>
      </c>
      <c r="F554" s="109">
        <v>40186</v>
      </c>
      <c r="G554" s="109"/>
      <c r="H554" s="109">
        <v>40199</v>
      </c>
      <c r="I554" s="109">
        <v>40220</v>
      </c>
      <c r="J554" s="71"/>
      <c r="K554" s="110" t="s">
        <v>2877</v>
      </c>
    </row>
    <row r="555" spans="1:11">
      <c r="A555" s="71" t="s">
        <v>68</v>
      </c>
      <c r="B555" s="107" t="s">
        <v>2542</v>
      </c>
      <c r="C555" s="71" t="s">
        <v>69</v>
      </c>
      <c r="D555" s="71" t="s">
        <v>70</v>
      </c>
      <c r="E555" s="108"/>
      <c r="F555" s="109">
        <v>40184</v>
      </c>
      <c r="G555" s="109"/>
      <c r="H555" s="109">
        <v>40185</v>
      </c>
      <c r="I555" s="109"/>
      <c r="J555" s="71"/>
      <c r="K555" s="110"/>
    </row>
    <row r="556" spans="1:11">
      <c r="A556" s="71" t="s">
        <v>71</v>
      </c>
      <c r="B556" s="107" t="s">
        <v>2516</v>
      </c>
      <c r="C556" s="71" t="s">
        <v>1435</v>
      </c>
      <c r="D556" s="71" t="s">
        <v>72</v>
      </c>
      <c r="E556" s="108">
        <v>892007</v>
      </c>
      <c r="F556" s="109">
        <v>40185</v>
      </c>
      <c r="G556" s="109"/>
      <c r="H556" s="109">
        <v>40464</v>
      </c>
      <c r="I556" s="109"/>
      <c r="J556" s="71"/>
      <c r="K556" s="110"/>
    </row>
    <row r="557" spans="1:11" ht="22.5">
      <c r="A557" s="71" t="s">
        <v>73</v>
      </c>
      <c r="B557" s="107" t="s">
        <v>74</v>
      </c>
      <c r="C557" s="71" t="s">
        <v>1058</v>
      </c>
      <c r="D557" s="71" t="s">
        <v>75</v>
      </c>
      <c r="E557" s="108">
        <v>1164000</v>
      </c>
      <c r="F557" s="109">
        <v>40192</v>
      </c>
      <c r="G557" s="109"/>
      <c r="H557" s="109">
        <v>40192</v>
      </c>
      <c r="I557" s="109">
        <v>40214</v>
      </c>
      <c r="J557" s="71"/>
      <c r="K557" s="110" t="s">
        <v>2877</v>
      </c>
    </row>
    <row r="558" spans="1:11" ht="22.5">
      <c r="A558" s="71" t="s">
        <v>76</v>
      </c>
      <c r="B558" s="107" t="s">
        <v>1267</v>
      </c>
      <c r="C558" s="71" t="s">
        <v>2526</v>
      </c>
      <c r="D558" s="71" t="s">
        <v>77</v>
      </c>
      <c r="E558" s="108">
        <v>927900</v>
      </c>
      <c r="F558" s="109">
        <v>40192</v>
      </c>
      <c r="G558" s="109"/>
      <c r="H558" s="109">
        <v>40225</v>
      </c>
      <c r="I558" s="109" t="s">
        <v>78</v>
      </c>
      <c r="J558" s="71"/>
      <c r="K558" s="110" t="s">
        <v>2877</v>
      </c>
    </row>
    <row r="559" spans="1:11">
      <c r="A559" s="71" t="s">
        <v>79</v>
      </c>
      <c r="B559" s="107" t="s">
        <v>80</v>
      </c>
      <c r="C559" s="71" t="s">
        <v>81</v>
      </c>
      <c r="D559" s="71" t="s">
        <v>82</v>
      </c>
      <c r="E559" s="108">
        <v>154487000</v>
      </c>
      <c r="F559" s="109">
        <v>40193</v>
      </c>
      <c r="G559" s="109"/>
      <c r="H559" s="109">
        <v>40211</v>
      </c>
      <c r="I559" s="109">
        <v>40213</v>
      </c>
      <c r="J559" s="71"/>
      <c r="K559" s="110" t="s">
        <v>2877</v>
      </c>
    </row>
    <row r="560" spans="1:11">
      <c r="A560" s="71" t="s">
        <v>83</v>
      </c>
      <c r="B560" s="107" t="s">
        <v>84</v>
      </c>
      <c r="C560" s="71" t="s">
        <v>85</v>
      </c>
      <c r="D560" s="71" t="s">
        <v>86</v>
      </c>
      <c r="E560" s="108">
        <v>129798</v>
      </c>
      <c r="F560" s="109">
        <v>40288</v>
      </c>
      <c r="G560" s="109"/>
      <c r="H560" s="109">
        <v>40304</v>
      </c>
      <c r="I560" s="109">
        <v>40417</v>
      </c>
      <c r="J560" s="71"/>
      <c r="K560" s="110" t="s">
        <v>2877</v>
      </c>
    </row>
    <row r="561" spans="1:11">
      <c r="A561" s="71" t="s">
        <v>87</v>
      </c>
      <c r="B561" s="107" t="s">
        <v>2516</v>
      </c>
      <c r="C561" s="71" t="s">
        <v>1511</v>
      </c>
      <c r="D561" s="71" t="s">
        <v>88</v>
      </c>
      <c r="E561" s="108">
        <v>211800</v>
      </c>
      <c r="F561" s="109">
        <v>40191</v>
      </c>
      <c r="G561" s="109"/>
      <c r="H561" s="109">
        <v>40199</v>
      </c>
      <c r="I561" s="109"/>
      <c r="J561" s="71"/>
      <c r="K561" s="110" t="s">
        <v>2877</v>
      </c>
    </row>
    <row r="562" spans="1:11">
      <c r="A562" s="71" t="s">
        <v>89</v>
      </c>
      <c r="B562" s="107" t="s">
        <v>90</v>
      </c>
      <c r="C562" s="71" t="s">
        <v>1058</v>
      </c>
      <c r="D562" s="71" t="s">
        <v>91</v>
      </c>
      <c r="E562" s="108">
        <v>994000</v>
      </c>
      <c r="F562" s="109">
        <v>40304</v>
      </c>
      <c r="G562" s="109"/>
      <c r="H562" s="109">
        <v>40323</v>
      </c>
      <c r="I562" s="109">
        <v>40333</v>
      </c>
      <c r="J562" s="71"/>
      <c r="K562" s="110" t="s">
        <v>2877</v>
      </c>
    </row>
    <row r="563" spans="1:11">
      <c r="A563" s="71" t="s">
        <v>92</v>
      </c>
      <c r="B563" s="107" t="s">
        <v>2516</v>
      </c>
      <c r="C563" s="71" t="s">
        <v>93</v>
      </c>
      <c r="D563" s="71" t="s">
        <v>94</v>
      </c>
      <c r="E563" s="108">
        <v>397857</v>
      </c>
      <c r="F563" s="109">
        <v>40204</v>
      </c>
      <c r="G563" s="109"/>
      <c r="H563" s="109">
        <v>40211</v>
      </c>
      <c r="I563" s="109">
        <v>40211</v>
      </c>
      <c r="J563" s="71"/>
      <c r="K563" s="110"/>
    </row>
    <row r="564" spans="1:11" ht="22.5">
      <c r="A564" s="71" t="s">
        <v>95</v>
      </c>
      <c r="B564" s="107" t="s">
        <v>96</v>
      </c>
      <c r="C564" s="71" t="s">
        <v>97</v>
      </c>
      <c r="D564" s="71" t="s">
        <v>98</v>
      </c>
      <c r="E564" s="108"/>
      <c r="F564" s="109">
        <v>40205</v>
      </c>
      <c r="G564" s="109">
        <v>40316</v>
      </c>
      <c r="H564" s="109">
        <v>40210</v>
      </c>
      <c r="I564" s="109">
        <v>40214</v>
      </c>
      <c r="J564" s="71"/>
      <c r="K564" s="110"/>
    </row>
    <row r="565" spans="1:11" ht="22.5">
      <c r="A565" s="71" t="s">
        <v>99</v>
      </c>
      <c r="B565" s="107" t="s">
        <v>1415</v>
      </c>
      <c r="C565" s="71" t="s">
        <v>100</v>
      </c>
      <c r="D565" s="71" t="s">
        <v>101</v>
      </c>
      <c r="E565" s="108"/>
      <c r="F565" s="109" t="s">
        <v>102</v>
      </c>
      <c r="G565" s="109"/>
      <c r="H565" s="109">
        <v>40199</v>
      </c>
      <c r="I565" s="109"/>
      <c r="J565" s="71"/>
      <c r="K565" s="110"/>
    </row>
    <row r="566" spans="1:11">
      <c r="A566" s="71" t="s">
        <v>103</v>
      </c>
      <c r="B566" s="107" t="s">
        <v>104</v>
      </c>
      <c r="C566" s="71" t="s">
        <v>105</v>
      </c>
      <c r="D566" s="71" t="s">
        <v>106</v>
      </c>
      <c r="E566" s="108"/>
      <c r="F566" s="109">
        <v>40273</v>
      </c>
      <c r="G566" s="109"/>
      <c r="H566" s="109">
        <v>40325</v>
      </c>
      <c r="I566" s="109"/>
      <c r="J566" s="71"/>
      <c r="K566" s="110"/>
    </row>
    <row r="567" spans="1:11">
      <c r="A567" s="71" t="s">
        <v>107</v>
      </c>
      <c r="B567" s="107" t="s">
        <v>108</v>
      </c>
      <c r="C567" s="71" t="s">
        <v>1432</v>
      </c>
      <c r="D567" s="71" t="s">
        <v>109</v>
      </c>
      <c r="E567" s="108">
        <v>455520</v>
      </c>
      <c r="F567" s="109">
        <v>40379</v>
      </c>
      <c r="G567" s="109">
        <v>40205</v>
      </c>
      <c r="H567" s="109">
        <v>40379</v>
      </c>
      <c r="I567" s="109">
        <v>40437</v>
      </c>
      <c r="J567" s="71"/>
      <c r="K567" s="110" t="s">
        <v>2877</v>
      </c>
    </row>
    <row r="568" spans="1:11">
      <c r="A568" s="71" t="s">
        <v>110</v>
      </c>
      <c r="B568" s="107" t="s">
        <v>104</v>
      </c>
      <c r="C568" s="71" t="s">
        <v>1404</v>
      </c>
      <c r="D568" s="71" t="s">
        <v>111</v>
      </c>
      <c r="E568" s="108">
        <v>545215</v>
      </c>
      <c r="F568" s="109">
        <v>40280</v>
      </c>
      <c r="G568" s="109"/>
      <c r="H568" s="109">
        <v>40309</v>
      </c>
      <c r="I568" s="109">
        <v>40309</v>
      </c>
      <c r="J568" s="71"/>
      <c r="K568" s="110"/>
    </row>
    <row r="569" spans="1:11">
      <c r="A569" s="71" t="s">
        <v>112</v>
      </c>
      <c r="B569" s="107" t="s">
        <v>2516</v>
      </c>
      <c r="C569" s="71" t="s">
        <v>1219</v>
      </c>
      <c r="D569" s="71" t="s">
        <v>113</v>
      </c>
      <c r="E569" s="108">
        <v>202117.92</v>
      </c>
      <c r="F569" s="109">
        <v>40192</v>
      </c>
      <c r="G569" s="109"/>
      <c r="H569" s="109">
        <v>40199</v>
      </c>
      <c r="I569" s="109">
        <v>40203</v>
      </c>
      <c r="J569" s="71"/>
      <c r="K569" s="110"/>
    </row>
    <row r="570" spans="1:11">
      <c r="A570" s="71" t="s">
        <v>114</v>
      </c>
      <c r="B570" s="107" t="s">
        <v>2536</v>
      </c>
      <c r="C570" s="71" t="s">
        <v>115</v>
      </c>
      <c r="D570" s="71" t="s">
        <v>116</v>
      </c>
      <c r="E570" s="108">
        <v>789790</v>
      </c>
      <c r="F570" s="109">
        <v>40198</v>
      </c>
      <c r="G570" s="109"/>
      <c r="H570" s="109">
        <v>40226</v>
      </c>
      <c r="I570" s="109">
        <v>40295</v>
      </c>
      <c r="J570" s="71"/>
      <c r="K570" s="110" t="s">
        <v>2877</v>
      </c>
    </row>
    <row r="571" spans="1:11">
      <c r="A571" s="71" t="s">
        <v>117</v>
      </c>
      <c r="B571" s="107" t="s">
        <v>2541</v>
      </c>
      <c r="C571" s="71" t="s">
        <v>118</v>
      </c>
      <c r="D571" s="71" t="s">
        <v>119</v>
      </c>
      <c r="E571" s="108">
        <v>793215.25</v>
      </c>
      <c r="F571" s="109">
        <v>40237</v>
      </c>
      <c r="G571" s="109"/>
      <c r="H571" s="109">
        <v>40247</v>
      </c>
      <c r="I571" s="109">
        <v>40254</v>
      </c>
      <c r="J571" s="71"/>
      <c r="K571" s="110" t="s">
        <v>2877</v>
      </c>
    </row>
    <row r="572" spans="1:11">
      <c r="A572" s="71" t="s">
        <v>120</v>
      </c>
      <c r="B572" s="107" t="s">
        <v>2541</v>
      </c>
      <c r="C572" s="71" t="s">
        <v>2532</v>
      </c>
      <c r="D572" s="71" t="s">
        <v>121</v>
      </c>
      <c r="E572" s="108">
        <v>3685752.45</v>
      </c>
      <c r="F572" s="109">
        <v>40212</v>
      </c>
      <c r="G572" s="109"/>
      <c r="H572" s="109">
        <v>40219</v>
      </c>
      <c r="I572" s="109">
        <v>40220</v>
      </c>
      <c r="J572" s="71"/>
      <c r="K572" s="110"/>
    </row>
    <row r="573" spans="1:11">
      <c r="A573" s="71" t="s">
        <v>122</v>
      </c>
      <c r="B573" s="107" t="s">
        <v>2524</v>
      </c>
      <c r="C573" s="71" t="s">
        <v>9</v>
      </c>
      <c r="D573" s="71" t="s">
        <v>123</v>
      </c>
      <c r="E573" s="108">
        <v>189100</v>
      </c>
      <c r="F573" s="109">
        <v>40302</v>
      </c>
      <c r="G573" s="109"/>
      <c r="H573" s="109">
        <v>40372</v>
      </c>
      <c r="I573" s="109">
        <v>40378</v>
      </c>
      <c r="J573" s="71"/>
      <c r="K573" s="110"/>
    </row>
    <row r="574" spans="1:11">
      <c r="A574" s="71" t="s">
        <v>124</v>
      </c>
      <c r="B574" s="107" t="s">
        <v>2524</v>
      </c>
      <c r="C574" s="71" t="s">
        <v>125</v>
      </c>
      <c r="D574" s="71" t="s">
        <v>126</v>
      </c>
      <c r="E574" s="108">
        <v>168790</v>
      </c>
      <c r="F574" s="109">
        <v>40207</v>
      </c>
      <c r="G574" s="109"/>
      <c r="H574" s="109">
        <v>40304</v>
      </c>
      <c r="I574" s="109">
        <v>40336</v>
      </c>
      <c r="J574" s="71"/>
      <c r="K574" s="110"/>
    </row>
    <row r="575" spans="1:11">
      <c r="A575" s="71" t="s">
        <v>127</v>
      </c>
      <c r="B575" s="107" t="s">
        <v>2538</v>
      </c>
      <c r="C575" s="71" t="s">
        <v>47</v>
      </c>
      <c r="D575" s="71" t="s">
        <v>128</v>
      </c>
      <c r="E575" s="108">
        <v>111007</v>
      </c>
      <c r="F575" s="109">
        <v>40240</v>
      </c>
      <c r="G575" s="109"/>
      <c r="H575" s="109">
        <v>40256</v>
      </c>
      <c r="I575" s="109">
        <v>40256</v>
      </c>
      <c r="J575" s="71"/>
      <c r="K575" s="110" t="s">
        <v>2877</v>
      </c>
    </row>
    <row r="576" spans="1:11">
      <c r="A576" s="71" t="s">
        <v>129</v>
      </c>
      <c r="B576" s="107" t="s">
        <v>2538</v>
      </c>
      <c r="C576" s="71" t="s">
        <v>130</v>
      </c>
      <c r="D576" s="71" t="s">
        <v>131</v>
      </c>
      <c r="E576" s="108">
        <v>146300</v>
      </c>
      <c r="F576" s="109">
        <v>40241</v>
      </c>
      <c r="G576" s="109"/>
      <c r="H576" s="109">
        <v>40256</v>
      </c>
      <c r="I576" s="109">
        <v>40256</v>
      </c>
      <c r="J576" s="71"/>
      <c r="K576" s="110" t="s">
        <v>2877</v>
      </c>
    </row>
    <row r="577" spans="1:11" ht="22.5">
      <c r="A577" s="71" t="s">
        <v>132</v>
      </c>
      <c r="B577" s="107" t="s">
        <v>133</v>
      </c>
      <c r="C577" s="71" t="s">
        <v>1112</v>
      </c>
      <c r="D577" s="71" t="s">
        <v>134</v>
      </c>
      <c r="E577" s="108">
        <v>1768574</v>
      </c>
      <c r="F577" s="109">
        <v>40289</v>
      </c>
      <c r="G577" s="109"/>
      <c r="H577" s="109">
        <v>40297</v>
      </c>
      <c r="I577" s="109">
        <v>40330</v>
      </c>
      <c r="J577" s="71"/>
      <c r="K577" s="110" t="s">
        <v>2877</v>
      </c>
    </row>
    <row r="578" spans="1:11">
      <c r="A578" s="71" t="s">
        <v>135</v>
      </c>
      <c r="B578" s="107" t="s">
        <v>104</v>
      </c>
      <c r="C578" s="71"/>
      <c r="D578" s="71" t="s">
        <v>136</v>
      </c>
      <c r="E578" s="108">
        <v>202571</v>
      </c>
      <c r="F578" s="109">
        <v>40277</v>
      </c>
      <c r="G578" s="109"/>
      <c r="H578" s="109">
        <v>40281</v>
      </c>
      <c r="I578" s="109"/>
      <c r="J578" s="71"/>
      <c r="K578" s="110"/>
    </row>
    <row r="579" spans="1:11">
      <c r="A579" s="71" t="s">
        <v>137</v>
      </c>
      <c r="B579" s="107" t="s">
        <v>138</v>
      </c>
      <c r="C579" s="71" t="s">
        <v>139</v>
      </c>
      <c r="D579" s="71" t="s">
        <v>140</v>
      </c>
      <c r="E579" s="108">
        <v>104340</v>
      </c>
      <c r="F579" s="109">
        <v>40245</v>
      </c>
      <c r="G579" s="109">
        <v>40358</v>
      </c>
      <c r="H579" s="109">
        <v>40309</v>
      </c>
      <c r="I579" s="109">
        <v>40309</v>
      </c>
      <c r="J579" s="71"/>
      <c r="K579" s="110" t="s">
        <v>2877</v>
      </c>
    </row>
    <row r="580" spans="1:11">
      <c r="A580" s="71" t="s">
        <v>141</v>
      </c>
      <c r="B580" s="107" t="s">
        <v>142</v>
      </c>
      <c r="C580" s="71" t="s">
        <v>1257</v>
      </c>
      <c r="D580" s="71" t="s">
        <v>143</v>
      </c>
      <c r="E580" s="108">
        <v>302937</v>
      </c>
      <c r="F580" s="109">
        <v>40213</v>
      </c>
      <c r="G580" s="109"/>
      <c r="H580" s="109">
        <v>40213</v>
      </c>
      <c r="I580" s="109">
        <v>40219</v>
      </c>
      <c r="J580" s="71"/>
      <c r="K580" s="110" t="s">
        <v>2877</v>
      </c>
    </row>
    <row r="581" spans="1:11">
      <c r="A581" s="71" t="s">
        <v>144</v>
      </c>
      <c r="B581" s="107" t="s">
        <v>145</v>
      </c>
      <c r="C581" s="71" t="s">
        <v>1257</v>
      </c>
      <c r="D581" s="71" t="s">
        <v>146</v>
      </c>
      <c r="E581" s="108">
        <v>434671</v>
      </c>
      <c r="F581" s="109">
        <v>40213</v>
      </c>
      <c r="G581" s="109"/>
      <c r="H581" s="109">
        <v>40214</v>
      </c>
      <c r="I581" s="109">
        <v>40219</v>
      </c>
      <c r="J581" s="71"/>
      <c r="K581" s="110" t="s">
        <v>2877</v>
      </c>
    </row>
    <row r="582" spans="1:11">
      <c r="A582" s="71" t="s">
        <v>147</v>
      </c>
      <c r="B582" s="107" t="s">
        <v>2538</v>
      </c>
      <c r="C582" s="71" t="s">
        <v>148</v>
      </c>
      <c r="D582" s="71" t="s">
        <v>149</v>
      </c>
      <c r="E582" s="108">
        <v>305000</v>
      </c>
      <c r="F582" s="109">
        <v>40227</v>
      </c>
      <c r="G582" s="109"/>
      <c r="H582" s="109">
        <v>40240</v>
      </c>
      <c r="I582" s="109">
        <v>40303</v>
      </c>
      <c r="J582" s="71"/>
      <c r="K582" s="110" t="s">
        <v>2877</v>
      </c>
    </row>
    <row r="583" spans="1:11" ht="22.5">
      <c r="A583" s="71" t="s">
        <v>150</v>
      </c>
      <c r="B583" s="107" t="s">
        <v>2538</v>
      </c>
      <c r="C583" s="71" t="s">
        <v>1138</v>
      </c>
      <c r="D583" s="71" t="s">
        <v>151</v>
      </c>
      <c r="E583" s="108">
        <v>69347</v>
      </c>
      <c r="F583" s="109">
        <v>40213</v>
      </c>
      <c r="G583" s="109"/>
      <c r="H583" s="109">
        <v>40240</v>
      </c>
      <c r="I583" s="109">
        <v>40242</v>
      </c>
      <c r="J583" s="71"/>
      <c r="K583" s="110" t="s">
        <v>2877</v>
      </c>
    </row>
    <row r="584" spans="1:11">
      <c r="A584" s="71" t="s">
        <v>152</v>
      </c>
      <c r="B584" s="107" t="s">
        <v>2541</v>
      </c>
      <c r="C584" s="71" t="s">
        <v>153</v>
      </c>
      <c r="D584" s="71" t="s">
        <v>154</v>
      </c>
      <c r="E584" s="108">
        <v>248483.5</v>
      </c>
      <c r="F584" s="109">
        <v>40232</v>
      </c>
      <c r="G584" s="109">
        <v>40415</v>
      </c>
      <c r="H584" s="109">
        <v>40247</v>
      </c>
      <c r="I584" s="109">
        <v>40254</v>
      </c>
      <c r="J584" s="71"/>
      <c r="K584" s="110" t="s">
        <v>155</v>
      </c>
    </row>
    <row r="585" spans="1:11">
      <c r="A585" s="71" t="s">
        <v>156</v>
      </c>
      <c r="B585" s="107" t="s">
        <v>2507</v>
      </c>
      <c r="C585" s="71" t="s">
        <v>47</v>
      </c>
      <c r="D585" s="71" t="s">
        <v>157</v>
      </c>
      <c r="E585" s="108">
        <v>119598.8</v>
      </c>
      <c r="F585" s="109">
        <v>40113</v>
      </c>
      <c r="G585" s="109"/>
      <c r="H585" s="109">
        <v>40149</v>
      </c>
      <c r="I585" s="109">
        <v>40294</v>
      </c>
      <c r="J585" s="71"/>
      <c r="K585" s="110"/>
    </row>
    <row r="586" spans="1:11">
      <c r="A586" s="71" t="s">
        <v>158</v>
      </c>
      <c r="B586" s="107" t="s">
        <v>1131</v>
      </c>
      <c r="C586" s="71" t="s">
        <v>159</v>
      </c>
      <c r="D586" s="71" t="s">
        <v>160</v>
      </c>
      <c r="E586" s="108">
        <v>1195000</v>
      </c>
      <c r="F586" s="109">
        <v>40233</v>
      </c>
      <c r="G586" s="109"/>
      <c r="H586" s="109">
        <v>40247</v>
      </c>
      <c r="I586" s="109">
        <v>40252</v>
      </c>
      <c r="J586" s="71"/>
      <c r="K586" s="110" t="s">
        <v>2877</v>
      </c>
    </row>
    <row r="587" spans="1:11">
      <c r="A587" s="71" t="s">
        <v>161</v>
      </c>
      <c r="B587" s="107" t="s">
        <v>162</v>
      </c>
      <c r="C587" s="71" t="s">
        <v>1359</v>
      </c>
      <c r="D587" s="71" t="s">
        <v>163</v>
      </c>
      <c r="E587" s="108">
        <v>5283715</v>
      </c>
      <c r="F587" s="109" t="s">
        <v>164</v>
      </c>
      <c r="G587" s="109"/>
      <c r="H587" s="109" t="s">
        <v>165</v>
      </c>
      <c r="I587" s="109">
        <v>40267</v>
      </c>
      <c r="J587" s="71"/>
      <c r="K587" s="110"/>
    </row>
    <row r="588" spans="1:11">
      <c r="A588" s="71" t="s">
        <v>166</v>
      </c>
      <c r="B588" s="107" t="s">
        <v>1063</v>
      </c>
      <c r="C588" s="71" t="s">
        <v>167</v>
      </c>
      <c r="D588" s="71" t="s">
        <v>168</v>
      </c>
      <c r="E588" s="108">
        <v>1425200</v>
      </c>
      <c r="F588" s="109">
        <v>40303</v>
      </c>
      <c r="G588" s="109"/>
      <c r="H588" s="109">
        <v>40318</v>
      </c>
      <c r="I588" s="109">
        <v>40339</v>
      </c>
      <c r="J588" s="71"/>
      <c r="K588" s="110"/>
    </row>
    <row r="589" spans="1:11">
      <c r="A589" s="71" t="s">
        <v>169</v>
      </c>
      <c r="B589" s="107" t="s">
        <v>1063</v>
      </c>
      <c r="C589" s="71" t="s">
        <v>170</v>
      </c>
      <c r="D589" s="71" t="s">
        <v>171</v>
      </c>
      <c r="E589" s="108">
        <v>524161</v>
      </c>
      <c r="F589" s="109">
        <v>40324</v>
      </c>
      <c r="G589" s="109"/>
      <c r="H589" s="109">
        <v>40339</v>
      </c>
      <c r="I589" s="109">
        <v>40339</v>
      </c>
      <c r="J589" s="71"/>
      <c r="K589" s="110"/>
    </row>
    <row r="590" spans="1:11">
      <c r="A590" s="71" t="s">
        <v>172</v>
      </c>
      <c r="B590" s="107" t="s">
        <v>1063</v>
      </c>
      <c r="C590" s="71" t="s">
        <v>2523</v>
      </c>
      <c r="D590" s="71" t="s">
        <v>173</v>
      </c>
      <c r="E590" s="108">
        <v>1479000</v>
      </c>
      <c r="F590" s="109">
        <v>40267</v>
      </c>
      <c r="G590" s="109"/>
      <c r="H590" s="109">
        <v>40276</v>
      </c>
      <c r="I590" s="109">
        <v>40277</v>
      </c>
      <c r="J590" s="71"/>
      <c r="K590" s="110"/>
    </row>
    <row r="591" spans="1:11">
      <c r="A591" s="71" t="s">
        <v>174</v>
      </c>
      <c r="B591" s="107" t="s">
        <v>175</v>
      </c>
      <c r="C591" s="71" t="s">
        <v>167</v>
      </c>
      <c r="D591" s="71" t="s">
        <v>176</v>
      </c>
      <c r="E591" s="108">
        <v>679000</v>
      </c>
      <c r="F591" s="109">
        <v>40323</v>
      </c>
      <c r="G591" s="109"/>
      <c r="H591" s="109">
        <v>40339</v>
      </c>
      <c r="I591" s="109" t="s">
        <v>177</v>
      </c>
      <c r="J591" s="71"/>
      <c r="K591" s="110"/>
    </row>
    <row r="592" spans="1:11">
      <c r="A592" s="71" t="s">
        <v>178</v>
      </c>
      <c r="B592" s="107" t="s">
        <v>179</v>
      </c>
      <c r="C592" s="71" t="s">
        <v>180</v>
      </c>
      <c r="D592" s="71" t="s">
        <v>181</v>
      </c>
      <c r="E592" s="108"/>
      <c r="F592" s="109">
        <v>40221</v>
      </c>
      <c r="G592" s="109"/>
      <c r="H592" s="109">
        <v>40221</v>
      </c>
      <c r="I592" s="109"/>
      <c r="J592" s="71"/>
      <c r="K592" s="110"/>
    </row>
    <row r="593" spans="1:11">
      <c r="A593" s="71" t="s">
        <v>182</v>
      </c>
      <c r="B593" s="107" t="s">
        <v>1063</v>
      </c>
      <c r="C593" s="71" t="s">
        <v>183</v>
      </c>
      <c r="D593" s="71" t="s">
        <v>184</v>
      </c>
      <c r="E593" s="108">
        <v>787597</v>
      </c>
      <c r="F593" s="109">
        <v>40325</v>
      </c>
      <c r="G593" s="109"/>
      <c r="H593" s="109">
        <v>40339</v>
      </c>
      <c r="I593" s="109">
        <v>40339</v>
      </c>
      <c r="J593" s="71"/>
      <c r="K593" s="110"/>
    </row>
    <row r="594" spans="1:11">
      <c r="A594" s="71" t="s">
        <v>185</v>
      </c>
      <c r="B594" s="107" t="s">
        <v>2538</v>
      </c>
      <c r="C594" s="71" t="s">
        <v>186</v>
      </c>
      <c r="D594" s="71" t="s">
        <v>187</v>
      </c>
      <c r="E594" s="108">
        <v>1644000</v>
      </c>
      <c r="F594" s="109">
        <v>40234</v>
      </c>
      <c r="G594" s="109"/>
      <c r="H594" s="109">
        <v>40273</v>
      </c>
      <c r="I594" s="109">
        <v>40303</v>
      </c>
      <c r="J594" s="71"/>
      <c r="K594" s="110" t="s">
        <v>2877</v>
      </c>
    </row>
    <row r="595" spans="1:11" ht="22.5">
      <c r="A595" s="71" t="s">
        <v>188</v>
      </c>
      <c r="B595" s="107" t="s">
        <v>1068</v>
      </c>
      <c r="C595" s="71" t="s">
        <v>189</v>
      </c>
      <c r="D595" s="71" t="s">
        <v>190</v>
      </c>
      <c r="E595" s="108"/>
      <c r="F595" s="109">
        <v>40238</v>
      </c>
      <c r="G595" s="109"/>
      <c r="H595" s="109">
        <v>40238</v>
      </c>
      <c r="I595" s="109">
        <v>40246</v>
      </c>
      <c r="J595" s="71" t="s">
        <v>2518</v>
      </c>
      <c r="K595" s="110"/>
    </row>
    <row r="596" spans="1:11">
      <c r="A596" s="71" t="s">
        <v>191</v>
      </c>
      <c r="B596" s="107" t="s">
        <v>2543</v>
      </c>
      <c r="C596" s="71" t="s">
        <v>1365</v>
      </c>
      <c r="D596" s="71" t="s">
        <v>192</v>
      </c>
      <c r="E596" s="108">
        <v>475475</v>
      </c>
      <c r="F596" s="109">
        <v>40219</v>
      </c>
      <c r="G596" s="109"/>
      <c r="H596" s="109">
        <v>40231</v>
      </c>
      <c r="I596" s="109">
        <v>40232</v>
      </c>
      <c r="J596" s="71"/>
      <c r="K596" s="110" t="s">
        <v>2877</v>
      </c>
    </row>
    <row r="597" spans="1:11">
      <c r="A597" s="71" t="s">
        <v>193</v>
      </c>
      <c r="B597" s="107" t="s">
        <v>1111</v>
      </c>
      <c r="C597" s="71" t="s">
        <v>1435</v>
      </c>
      <c r="D597" s="71" t="s">
        <v>194</v>
      </c>
      <c r="E597" s="108">
        <v>3936007</v>
      </c>
      <c r="F597" s="109">
        <v>40256</v>
      </c>
      <c r="G597" s="109"/>
      <c r="H597" s="109">
        <v>40274</v>
      </c>
      <c r="I597" s="109">
        <v>40275</v>
      </c>
      <c r="J597" s="71"/>
      <c r="K597" s="110"/>
    </row>
    <row r="598" spans="1:11" ht="22.5">
      <c r="A598" s="71" t="s">
        <v>195</v>
      </c>
      <c r="B598" s="107" t="s">
        <v>196</v>
      </c>
      <c r="C598" s="71" t="s">
        <v>1059</v>
      </c>
      <c r="D598" s="71" t="s">
        <v>197</v>
      </c>
      <c r="E598" s="108">
        <v>446590</v>
      </c>
      <c r="F598" s="109">
        <v>40181</v>
      </c>
      <c r="G598" s="109"/>
      <c r="H598" s="109">
        <v>40225</v>
      </c>
      <c r="I598" s="109">
        <v>40225</v>
      </c>
      <c r="J598" s="71"/>
      <c r="K598" s="110"/>
    </row>
    <row r="599" spans="1:11">
      <c r="A599" s="71" t="s">
        <v>198</v>
      </c>
      <c r="B599" s="107" t="s">
        <v>2543</v>
      </c>
      <c r="C599" s="71" t="s">
        <v>1302</v>
      </c>
      <c r="D599" s="71" t="s">
        <v>199</v>
      </c>
      <c r="E599" s="108">
        <v>317171.34999999998</v>
      </c>
      <c r="F599" s="109">
        <v>40226</v>
      </c>
      <c r="G599" s="109">
        <v>40360</v>
      </c>
      <c r="H599" s="109">
        <v>40245</v>
      </c>
      <c r="I599" s="109">
        <v>40247</v>
      </c>
      <c r="J599" s="71"/>
      <c r="K599" s="110"/>
    </row>
    <row r="600" spans="1:11">
      <c r="A600" s="71" t="s">
        <v>200</v>
      </c>
      <c r="B600" s="107" t="s">
        <v>2507</v>
      </c>
      <c r="C600" s="71" t="s">
        <v>2540</v>
      </c>
      <c r="D600" s="71" t="s">
        <v>201</v>
      </c>
      <c r="E600" s="108">
        <v>4341500</v>
      </c>
      <c r="F600" s="109">
        <v>40247</v>
      </c>
      <c r="G600" s="109"/>
      <c r="H600" s="109">
        <v>40282</v>
      </c>
      <c r="I600" s="109">
        <v>40284</v>
      </c>
      <c r="J600" s="71"/>
      <c r="K600" s="110"/>
    </row>
    <row r="601" spans="1:11">
      <c r="A601" s="71" t="s">
        <v>202</v>
      </c>
      <c r="B601" s="107" t="s">
        <v>1426</v>
      </c>
      <c r="C601" s="71"/>
      <c r="D601" s="71" t="s">
        <v>203</v>
      </c>
      <c r="E601" s="108">
        <v>408214</v>
      </c>
      <c r="F601" s="109">
        <v>40391</v>
      </c>
      <c r="G601" s="109"/>
      <c r="H601" s="109">
        <v>40422</v>
      </c>
      <c r="I601" s="109"/>
      <c r="J601" s="71"/>
      <c r="K601" s="110"/>
    </row>
    <row r="602" spans="1:11">
      <c r="A602" s="71" t="s">
        <v>204</v>
      </c>
      <c r="B602" s="107" t="s">
        <v>1131</v>
      </c>
      <c r="C602" s="71" t="s">
        <v>205</v>
      </c>
      <c r="D602" s="71" t="s">
        <v>206</v>
      </c>
      <c r="E602" s="108">
        <v>3743000</v>
      </c>
      <c r="F602" s="109">
        <v>40246</v>
      </c>
      <c r="G602" s="109"/>
      <c r="H602" s="109">
        <v>40268</v>
      </c>
      <c r="I602" s="109">
        <v>40275</v>
      </c>
      <c r="J602" s="71"/>
      <c r="K602" s="110"/>
    </row>
    <row r="603" spans="1:11">
      <c r="A603" s="71" t="s">
        <v>207</v>
      </c>
      <c r="B603" s="107" t="s">
        <v>1060</v>
      </c>
      <c r="C603" s="71" t="s">
        <v>2518</v>
      </c>
      <c r="D603" s="71" t="s">
        <v>208</v>
      </c>
      <c r="E603" s="108"/>
      <c r="F603" s="109" t="s">
        <v>1507</v>
      </c>
      <c r="G603" s="109">
        <v>40316</v>
      </c>
      <c r="H603" s="109">
        <v>40242</v>
      </c>
      <c r="I603" s="109"/>
      <c r="J603" s="71"/>
      <c r="K603" s="110"/>
    </row>
    <row r="604" spans="1:11" ht="22.5">
      <c r="A604" s="71" t="s">
        <v>209</v>
      </c>
      <c r="B604" s="107" t="s">
        <v>2520</v>
      </c>
      <c r="C604" s="71" t="s">
        <v>210</v>
      </c>
      <c r="D604" s="71" t="s">
        <v>211</v>
      </c>
      <c r="E604" s="108"/>
      <c r="F604" s="109">
        <v>40238</v>
      </c>
      <c r="G604" s="109"/>
      <c r="H604" s="109">
        <v>40246</v>
      </c>
      <c r="I604" s="109"/>
      <c r="J604" s="71"/>
      <c r="K604" s="110"/>
    </row>
    <row r="605" spans="1:11">
      <c r="A605" s="71" t="s">
        <v>212</v>
      </c>
      <c r="B605" s="107" t="s">
        <v>1124</v>
      </c>
      <c r="C605" s="71" t="s">
        <v>1058</v>
      </c>
      <c r="D605" s="71" t="s">
        <v>213</v>
      </c>
      <c r="E605" s="108">
        <v>1543000</v>
      </c>
      <c r="F605" s="109">
        <v>40319</v>
      </c>
      <c r="G605" s="109"/>
      <c r="H605" s="109">
        <v>40330</v>
      </c>
      <c r="I605" s="109">
        <v>40400</v>
      </c>
      <c r="J605" s="71"/>
      <c r="K605" s="110"/>
    </row>
    <row r="606" spans="1:11">
      <c r="A606" s="71" t="s">
        <v>214</v>
      </c>
      <c r="B606" s="107" t="s">
        <v>2509</v>
      </c>
      <c r="C606" s="71" t="s">
        <v>2532</v>
      </c>
      <c r="D606" s="71" t="s">
        <v>215</v>
      </c>
      <c r="E606" s="108">
        <v>588250</v>
      </c>
      <c r="F606" s="109">
        <v>40246</v>
      </c>
      <c r="G606" s="109"/>
      <c r="H606" s="109">
        <v>40253</v>
      </c>
      <c r="I606" s="109">
        <v>40254</v>
      </c>
      <c r="J606" s="71"/>
      <c r="K606" s="110"/>
    </row>
    <row r="607" spans="1:11">
      <c r="A607" s="71" t="s">
        <v>216</v>
      </c>
      <c r="B607" s="107" t="s">
        <v>2516</v>
      </c>
      <c r="C607" s="71" t="s">
        <v>1359</v>
      </c>
      <c r="D607" s="71" t="s">
        <v>217</v>
      </c>
      <c r="E607" s="108">
        <v>3766000</v>
      </c>
      <c r="F607" s="109">
        <v>40281</v>
      </c>
      <c r="G607" s="109"/>
      <c r="H607" s="109">
        <v>40305</v>
      </c>
      <c r="I607" s="109">
        <v>40305</v>
      </c>
      <c r="J607" s="71"/>
      <c r="K607" s="110"/>
    </row>
    <row r="608" spans="1:11">
      <c r="A608" s="71" t="s">
        <v>218</v>
      </c>
      <c r="B608" s="107" t="s">
        <v>2509</v>
      </c>
      <c r="C608" s="71" t="s">
        <v>1126</v>
      </c>
      <c r="D608" s="71" t="s">
        <v>219</v>
      </c>
      <c r="E608" s="108">
        <v>317900</v>
      </c>
      <c r="F608" s="109">
        <v>40262</v>
      </c>
      <c r="G608" s="109"/>
      <c r="H608" s="109">
        <v>40316</v>
      </c>
      <c r="I608" s="109">
        <v>40322</v>
      </c>
      <c r="J608" s="71"/>
      <c r="K608" s="110"/>
    </row>
    <row r="609" spans="1:11">
      <c r="A609" s="71" t="s">
        <v>220</v>
      </c>
      <c r="B609" s="107" t="s">
        <v>2507</v>
      </c>
      <c r="C609" s="71" t="s">
        <v>221</v>
      </c>
      <c r="D609" s="71" t="s">
        <v>222</v>
      </c>
      <c r="E609" s="108">
        <v>104900</v>
      </c>
      <c r="F609" s="109" t="s">
        <v>1334</v>
      </c>
      <c r="G609" s="109"/>
      <c r="H609" s="109">
        <v>40212</v>
      </c>
      <c r="I609" s="109">
        <v>40219</v>
      </c>
      <c r="J609" s="71"/>
      <c r="K609" s="110"/>
    </row>
    <row r="610" spans="1:11" ht="22.5">
      <c r="A610" s="71" t="s">
        <v>223</v>
      </c>
      <c r="B610" s="107" t="s">
        <v>224</v>
      </c>
      <c r="C610" s="71" t="s">
        <v>225</v>
      </c>
      <c r="D610" s="71" t="s">
        <v>226</v>
      </c>
      <c r="E610" s="108">
        <v>117882</v>
      </c>
      <c r="F610" s="109" t="s">
        <v>1334</v>
      </c>
      <c r="G610" s="109">
        <v>40353</v>
      </c>
      <c r="H610" s="109">
        <v>40212</v>
      </c>
      <c r="I610" s="109">
        <v>40219</v>
      </c>
      <c r="J610" s="71"/>
      <c r="K610" s="110" t="s">
        <v>2877</v>
      </c>
    </row>
    <row r="611" spans="1:11">
      <c r="A611" s="71" t="s">
        <v>227</v>
      </c>
      <c r="B611" s="107" t="s">
        <v>1063</v>
      </c>
      <c r="C611" s="71" t="s">
        <v>1365</v>
      </c>
      <c r="D611" s="71" t="s">
        <v>228</v>
      </c>
      <c r="E611" s="108">
        <v>3124124</v>
      </c>
      <c r="F611" s="109">
        <v>40241</v>
      </c>
      <c r="G611" s="109"/>
      <c r="H611" s="109">
        <v>40276</v>
      </c>
      <c r="I611" s="109">
        <v>40280</v>
      </c>
      <c r="J611" s="71"/>
      <c r="K611" s="110"/>
    </row>
    <row r="612" spans="1:11" ht="22.5">
      <c r="A612" s="71" t="s">
        <v>229</v>
      </c>
      <c r="B612" s="107" t="s">
        <v>230</v>
      </c>
      <c r="C612" s="71" t="s">
        <v>231</v>
      </c>
      <c r="D612" s="71" t="s">
        <v>232</v>
      </c>
      <c r="E612" s="108">
        <v>100000</v>
      </c>
      <c r="F612" s="109">
        <v>40234</v>
      </c>
      <c r="G612" s="109"/>
      <c r="H612" s="109">
        <v>40238</v>
      </c>
      <c r="I612" s="109">
        <v>40330</v>
      </c>
      <c r="J612" s="71"/>
      <c r="K612" s="110"/>
    </row>
    <row r="613" spans="1:11">
      <c r="A613" s="71" t="s">
        <v>233</v>
      </c>
      <c r="B613" s="107" t="s">
        <v>2520</v>
      </c>
      <c r="C613" s="71" t="s">
        <v>234</v>
      </c>
      <c r="D613" s="71" t="s">
        <v>235</v>
      </c>
      <c r="E613" s="108"/>
      <c r="F613" s="109">
        <v>40198</v>
      </c>
      <c r="G613" s="109"/>
      <c r="H613" s="109">
        <v>40206</v>
      </c>
      <c r="I613" s="109"/>
      <c r="J613" s="71"/>
      <c r="K613" s="110"/>
    </row>
    <row r="614" spans="1:11">
      <c r="A614" s="71" t="s">
        <v>236</v>
      </c>
      <c r="B614" s="107" t="s">
        <v>2520</v>
      </c>
      <c r="C614" s="71" t="s">
        <v>234</v>
      </c>
      <c r="D614" s="71" t="s">
        <v>237</v>
      </c>
      <c r="E614" s="108"/>
      <c r="F614" s="109">
        <v>40198</v>
      </c>
      <c r="G614" s="109"/>
      <c r="H614" s="109">
        <v>40206</v>
      </c>
      <c r="I614" s="109"/>
      <c r="J614" s="71"/>
      <c r="K614" s="110"/>
    </row>
    <row r="615" spans="1:11">
      <c r="A615" s="71" t="s">
        <v>238</v>
      </c>
      <c r="B615" s="107" t="s">
        <v>239</v>
      </c>
      <c r="C615" s="71" t="s">
        <v>234</v>
      </c>
      <c r="D615" s="71" t="s">
        <v>240</v>
      </c>
      <c r="E615" s="108"/>
      <c r="F615" s="109">
        <v>40198</v>
      </c>
      <c r="G615" s="109"/>
      <c r="H615" s="109">
        <v>40206</v>
      </c>
      <c r="I615" s="109"/>
      <c r="J615" s="71"/>
      <c r="K615" s="110"/>
    </row>
    <row r="616" spans="1:11">
      <c r="A616" s="71" t="s">
        <v>241</v>
      </c>
      <c r="B616" s="107" t="s">
        <v>2520</v>
      </c>
      <c r="C616" s="71" t="s">
        <v>234</v>
      </c>
      <c r="D616" s="71" t="s">
        <v>242</v>
      </c>
      <c r="E616" s="108"/>
      <c r="F616" s="109">
        <v>40198</v>
      </c>
      <c r="G616" s="109"/>
      <c r="H616" s="109">
        <v>40206</v>
      </c>
      <c r="I616" s="109"/>
      <c r="J616" s="71"/>
      <c r="K616" s="110"/>
    </row>
    <row r="617" spans="1:11">
      <c r="A617" s="71" t="s">
        <v>243</v>
      </c>
      <c r="B617" s="107" t="s">
        <v>1400</v>
      </c>
      <c r="C617" s="71" t="s">
        <v>1109</v>
      </c>
      <c r="D617" s="71" t="s">
        <v>244</v>
      </c>
      <c r="E617" s="108">
        <v>282882.32</v>
      </c>
      <c r="F617" s="109">
        <v>40255</v>
      </c>
      <c r="G617" s="109"/>
      <c r="H617" s="109">
        <v>40379</v>
      </c>
      <c r="I617" s="109">
        <v>40429</v>
      </c>
      <c r="J617" s="71"/>
      <c r="K617" s="110"/>
    </row>
    <row r="618" spans="1:11">
      <c r="A618" s="71" t="s">
        <v>245</v>
      </c>
      <c r="B618" s="107" t="s">
        <v>2538</v>
      </c>
      <c r="C618" s="71" t="s">
        <v>1365</v>
      </c>
      <c r="D618" s="71" t="s">
        <v>246</v>
      </c>
      <c r="E618" s="108">
        <v>795795</v>
      </c>
      <c r="F618" s="109">
        <v>40289</v>
      </c>
      <c r="G618" s="109"/>
      <c r="H618" s="109">
        <v>40290</v>
      </c>
      <c r="I618" s="109">
        <v>40330</v>
      </c>
      <c r="J618" s="71"/>
      <c r="K618" s="110"/>
    </row>
    <row r="619" spans="1:11">
      <c r="A619" s="71" t="s">
        <v>247</v>
      </c>
      <c r="B619" s="107" t="s">
        <v>90</v>
      </c>
      <c r="C619" s="71" t="s">
        <v>248</v>
      </c>
      <c r="D619" s="71" t="s">
        <v>249</v>
      </c>
      <c r="E619" s="108">
        <v>215500</v>
      </c>
      <c r="F619" s="109">
        <v>40267</v>
      </c>
      <c r="G619" s="109"/>
      <c r="H619" s="109">
        <v>40291</v>
      </c>
      <c r="I619" s="109">
        <v>40330</v>
      </c>
      <c r="J619" s="71"/>
      <c r="K619" s="110"/>
    </row>
    <row r="620" spans="1:11">
      <c r="A620" s="71" t="s">
        <v>250</v>
      </c>
      <c r="B620" s="107" t="s">
        <v>1131</v>
      </c>
      <c r="C620" s="71" t="s">
        <v>4119</v>
      </c>
      <c r="D620" s="71" t="s">
        <v>251</v>
      </c>
      <c r="E620" s="108">
        <v>494000</v>
      </c>
      <c r="F620" s="109">
        <v>40282</v>
      </c>
      <c r="G620" s="109"/>
      <c r="H620" s="109">
        <v>40296</v>
      </c>
      <c r="I620" s="109"/>
      <c r="J620" s="71"/>
      <c r="K620" s="110"/>
    </row>
    <row r="621" spans="1:11">
      <c r="A621" s="71" t="s">
        <v>252</v>
      </c>
      <c r="B621" s="107" t="s">
        <v>2543</v>
      </c>
      <c r="C621" s="71" t="s">
        <v>253</v>
      </c>
      <c r="D621" s="71" t="s">
        <v>254</v>
      </c>
      <c r="E621" s="108">
        <v>254291.25</v>
      </c>
      <c r="F621" s="109">
        <v>40240</v>
      </c>
      <c r="G621" s="109">
        <v>40360</v>
      </c>
      <c r="H621" s="109">
        <v>40296</v>
      </c>
      <c r="I621" s="109">
        <v>40261</v>
      </c>
      <c r="J621" s="71"/>
      <c r="K621" s="110"/>
    </row>
    <row r="622" spans="1:11" ht="22.5">
      <c r="A622" s="71" t="s">
        <v>255</v>
      </c>
      <c r="B622" s="107" t="s">
        <v>1426</v>
      </c>
      <c r="C622" s="71" t="s">
        <v>256</v>
      </c>
      <c r="D622" s="71" t="s">
        <v>257</v>
      </c>
      <c r="E622" s="108"/>
      <c r="F622" s="109">
        <v>40239</v>
      </c>
      <c r="G622" s="109"/>
      <c r="H622" s="109">
        <v>40240</v>
      </c>
      <c r="I622" s="109">
        <v>40288</v>
      </c>
      <c r="J622" s="71" t="s">
        <v>2518</v>
      </c>
      <c r="K622" s="110"/>
    </row>
    <row r="623" spans="1:11">
      <c r="A623" s="71" t="s">
        <v>258</v>
      </c>
      <c r="B623" s="107" t="s">
        <v>175</v>
      </c>
      <c r="C623" s="71"/>
      <c r="D623" s="71" t="s">
        <v>259</v>
      </c>
      <c r="E623" s="108">
        <v>160000</v>
      </c>
      <c r="F623" s="109">
        <v>40267</v>
      </c>
      <c r="G623" s="109"/>
      <c r="H623" s="109">
        <v>40283</v>
      </c>
      <c r="I623" s="109"/>
      <c r="J623" s="71"/>
      <c r="K623" s="110"/>
    </row>
    <row r="624" spans="1:11">
      <c r="A624" s="71" t="s">
        <v>260</v>
      </c>
      <c r="B624" s="107" t="s">
        <v>2520</v>
      </c>
      <c r="C624" s="71" t="s">
        <v>261</v>
      </c>
      <c r="D624" s="71" t="s">
        <v>262</v>
      </c>
      <c r="E624" s="108">
        <v>263046</v>
      </c>
      <c r="F624" s="109">
        <v>40248</v>
      </c>
      <c r="G624" s="109">
        <v>40424</v>
      </c>
      <c r="H624" s="109">
        <v>40284</v>
      </c>
      <c r="I624" s="109">
        <v>40281</v>
      </c>
      <c r="J624" s="71"/>
      <c r="K624" s="110" t="s">
        <v>2877</v>
      </c>
    </row>
    <row r="625" spans="1:11">
      <c r="A625" s="71" t="s">
        <v>263</v>
      </c>
      <c r="B625" s="107" t="s">
        <v>2520</v>
      </c>
      <c r="C625" s="71" t="s">
        <v>1307</v>
      </c>
      <c r="D625" s="71" t="s">
        <v>264</v>
      </c>
      <c r="E625" s="108">
        <v>458431.78</v>
      </c>
      <c r="F625" s="109">
        <v>40248</v>
      </c>
      <c r="G625" s="109">
        <v>40415</v>
      </c>
      <c r="H625" s="109">
        <v>40270</v>
      </c>
      <c r="I625" s="109">
        <v>40276</v>
      </c>
      <c r="J625" s="71"/>
      <c r="K625" s="110" t="s">
        <v>2877</v>
      </c>
    </row>
    <row r="626" spans="1:11">
      <c r="A626" s="71" t="s">
        <v>265</v>
      </c>
      <c r="B626" s="107" t="s">
        <v>1068</v>
      </c>
      <c r="C626" s="71" t="s">
        <v>266</v>
      </c>
      <c r="D626" s="71" t="s">
        <v>267</v>
      </c>
      <c r="E626" s="108"/>
      <c r="F626" s="109">
        <v>40253</v>
      </c>
      <c r="G626" s="109"/>
      <c r="H626" s="109">
        <v>40260</v>
      </c>
      <c r="I626" s="109"/>
      <c r="J626" s="71"/>
      <c r="K626" s="110"/>
    </row>
    <row r="627" spans="1:11">
      <c r="A627" s="71" t="s">
        <v>268</v>
      </c>
      <c r="B627" s="107" t="s">
        <v>2538</v>
      </c>
      <c r="C627" s="71" t="s">
        <v>269</v>
      </c>
      <c r="D627" s="71" t="s">
        <v>270</v>
      </c>
      <c r="E627" s="108">
        <v>4919471.6900000004</v>
      </c>
      <c r="F627" s="109">
        <v>40288</v>
      </c>
      <c r="G627" s="109"/>
      <c r="H627" s="109">
        <v>40295</v>
      </c>
      <c r="I627" s="109">
        <v>40420</v>
      </c>
      <c r="J627" s="71"/>
      <c r="K627" s="110"/>
    </row>
    <row r="628" spans="1:11">
      <c r="A628" s="71" t="s">
        <v>271</v>
      </c>
      <c r="B628" s="107" t="s">
        <v>2538</v>
      </c>
      <c r="C628" s="71" t="s">
        <v>2539</v>
      </c>
      <c r="D628" s="71" t="s">
        <v>272</v>
      </c>
      <c r="E628" s="108">
        <v>1297000</v>
      </c>
      <c r="F628" s="109">
        <v>40253</v>
      </c>
      <c r="G628" s="109"/>
      <c r="H628" s="109">
        <v>40268</v>
      </c>
      <c r="I628" s="109">
        <v>40276</v>
      </c>
      <c r="J628" s="71"/>
      <c r="K628" s="110"/>
    </row>
    <row r="629" spans="1:11">
      <c r="A629" s="71" t="s">
        <v>273</v>
      </c>
      <c r="B629" s="107" t="s">
        <v>2538</v>
      </c>
      <c r="C629" s="71" t="s">
        <v>1435</v>
      </c>
      <c r="D629" s="71" t="s">
        <v>274</v>
      </c>
      <c r="E629" s="108">
        <v>1653382</v>
      </c>
      <c r="F629" s="109">
        <v>40352</v>
      </c>
      <c r="G629" s="109"/>
      <c r="H629" s="109">
        <v>40357</v>
      </c>
      <c r="I629" s="109">
        <v>40381</v>
      </c>
      <c r="J629" s="71"/>
      <c r="K629" s="110"/>
    </row>
    <row r="630" spans="1:11">
      <c r="A630" s="71" t="s">
        <v>275</v>
      </c>
      <c r="B630" s="107" t="s">
        <v>2538</v>
      </c>
      <c r="C630" s="71" t="s">
        <v>1365</v>
      </c>
      <c r="D630" s="71" t="s">
        <v>276</v>
      </c>
      <c r="E630" s="108">
        <v>2054952</v>
      </c>
      <c r="F630" s="109">
        <v>40366</v>
      </c>
      <c r="G630" s="109"/>
      <c r="H630" s="109">
        <v>40368</v>
      </c>
      <c r="I630" s="109">
        <v>40372</v>
      </c>
      <c r="J630" s="71"/>
      <c r="K630" s="110"/>
    </row>
    <row r="631" spans="1:11">
      <c r="A631" s="71" t="s">
        <v>277</v>
      </c>
      <c r="B631" s="107" t="s">
        <v>2538</v>
      </c>
      <c r="C631" s="71" t="s">
        <v>1370</v>
      </c>
      <c r="D631" s="71" t="s">
        <v>278</v>
      </c>
      <c r="E631" s="108">
        <v>349569.72</v>
      </c>
      <c r="F631" s="109">
        <v>40310</v>
      </c>
      <c r="G631" s="109">
        <v>40416</v>
      </c>
      <c r="H631" s="109">
        <v>40323</v>
      </c>
      <c r="I631" s="109">
        <v>40330</v>
      </c>
      <c r="J631" s="71"/>
      <c r="K631" s="110"/>
    </row>
    <row r="632" spans="1:11">
      <c r="A632" s="71" t="s">
        <v>279</v>
      </c>
      <c r="B632" s="107" t="s">
        <v>1068</v>
      </c>
      <c r="C632" s="71" t="s">
        <v>280</v>
      </c>
      <c r="D632" s="71" t="s">
        <v>267</v>
      </c>
      <c r="E632" s="108">
        <v>443956</v>
      </c>
      <c r="F632" s="109">
        <v>40361</v>
      </c>
      <c r="G632" s="109"/>
      <c r="H632" s="109">
        <v>40372</v>
      </c>
      <c r="I632" s="109">
        <v>40373</v>
      </c>
      <c r="J632" s="71"/>
      <c r="K632" s="110"/>
    </row>
    <row r="633" spans="1:11">
      <c r="A633" s="71" t="s">
        <v>281</v>
      </c>
      <c r="B633" s="107" t="s">
        <v>2543</v>
      </c>
      <c r="C633" s="71" t="s">
        <v>282</v>
      </c>
      <c r="D633" s="71" t="s">
        <v>283</v>
      </c>
      <c r="E633" s="108"/>
      <c r="F633" s="109">
        <v>40331</v>
      </c>
      <c r="G633" s="109"/>
      <c r="H633" s="109">
        <v>40339</v>
      </c>
      <c r="I633" s="109"/>
      <c r="J633" s="71"/>
      <c r="K633" s="110"/>
    </row>
    <row r="634" spans="1:11" ht="45">
      <c r="A634" s="71" t="s">
        <v>284</v>
      </c>
      <c r="B634" s="107" t="s">
        <v>2516</v>
      </c>
      <c r="C634" s="71" t="s">
        <v>1359</v>
      </c>
      <c r="D634" s="71" t="s">
        <v>285</v>
      </c>
      <c r="E634" s="108">
        <v>1276945</v>
      </c>
      <c r="F634" s="109">
        <v>40248</v>
      </c>
      <c r="G634" s="109"/>
      <c r="H634" s="109">
        <v>40325</v>
      </c>
      <c r="I634" s="109">
        <v>40325</v>
      </c>
      <c r="J634" s="71" t="s">
        <v>286</v>
      </c>
      <c r="K634" s="110"/>
    </row>
    <row r="635" spans="1:11">
      <c r="A635" s="71" t="s">
        <v>287</v>
      </c>
      <c r="B635" s="107" t="s">
        <v>2509</v>
      </c>
      <c r="C635" s="71" t="s">
        <v>288</v>
      </c>
      <c r="D635" s="71" t="s">
        <v>289</v>
      </c>
      <c r="E635" s="108">
        <v>218318</v>
      </c>
      <c r="F635" s="109">
        <v>40255</v>
      </c>
      <c r="G635" s="109"/>
      <c r="H635" s="109">
        <v>40255</v>
      </c>
      <c r="I635" s="109"/>
      <c r="J635" s="71"/>
      <c r="K635" s="110"/>
    </row>
    <row r="636" spans="1:11">
      <c r="A636" s="71" t="s">
        <v>290</v>
      </c>
      <c r="B636" s="107" t="s">
        <v>2509</v>
      </c>
      <c r="C636" s="71" t="s">
        <v>291</v>
      </c>
      <c r="D636" s="71" t="s">
        <v>292</v>
      </c>
      <c r="E636" s="108">
        <v>69239</v>
      </c>
      <c r="F636" s="109">
        <v>40253</v>
      </c>
      <c r="G636" s="109">
        <v>40382</v>
      </c>
      <c r="H636" s="109">
        <v>40255</v>
      </c>
      <c r="I636" s="109">
        <v>40255</v>
      </c>
      <c r="J636" s="71"/>
      <c r="K636" s="110"/>
    </row>
    <row r="637" spans="1:11">
      <c r="A637" s="71" t="s">
        <v>293</v>
      </c>
      <c r="B637" s="107" t="s">
        <v>2509</v>
      </c>
      <c r="C637" s="71" t="s">
        <v>125</v>
      </c>
      <c r="D637" s="71" t="s">
        <v>294</v>
      </c>
      <c r="E637" s="108">
        <v>107770</v>
      </c>
      <c r="F637" s="109">
        <v>40262</v>
      </c>
      <c r="G637" s="109"/>
      <c r="H637" s="109">
        <v>40294</v>
      </c>
      <c r="I637" s="109">
        <v>40266</v>
      </c>
      <c r="J637" s="71"/>
      <c r="K637" s="110"/>
    </row>
    <row r="638" spans="1:11" ht="22.5">
      <c r="A638" s="71" t="s">
        <v>295</v>
      </c>
      <c r="B638" s="107" t="s">
        <v>2543</v>
      </c>
      <c r="C638" s="71" t="s">
        <v>1200</v>
      </c>
      <c r="D638" s="71" t="s">
        <v>296</v>
      </c>
      <c r="E638" s="108">
        <v>374646.3</v>
      </c>
      <c r="F638" s="109">
        <v>40260</v>
      </c>
      <c r="G638" s="109"/>
      <c r="H638" s="109" t="s">
        <v>297</v>
      </c>
      <c r="I638" s="109">
        <v>40282</v>
      </c>
      <c r="J638" s="71"/>
      <c r="K638" s="110"/>
    </row>
    <row r="639" spans="1:11">
      <c r="A639" s="71" t="s">
        <v>298</v>
      </c>
      <c r="B639" s="107" t="s">
        <v>2516</v>
      </c>
      <c r="C639" s="71" t="s">
        <v>299</v>
      </c>
      <c r="D639" s="71" t="s">
        <v>300</v>
      </c>
      <c r="E639" s="108">
        <v>356283</v>
      </c>
      <c r="F639" s="109">
        <v>40253</v>
      </c>
      <c r="G639" s="109"/>
      <c r="H639" s="109">
        <v>40261</v>
      </c>
      <c r="I639" s="109">
        <v>40261</v>
      </c>
      <c r="J639" s="71"/>
      <c r="K639" s="110"/>
    </row>
    <row r="640" spans="1:11" ht="22.5">
      <c r="A640" s="71" t="s">
        <v>301</v>
      </c>
      <c r="B640" s="107" t="s">
        <v>1306</v>
      </c>
      <c r="C640" s="71" t="s">
        <v>302</v>
      </c>
      <c r="D640" s="71" t="s">
        <v>303</v>
      </c>
      <c r="E640" s="108">
        <v>526105</v>
      </c>
      <c r="F640" s="109">
        <v>40255</v>
      </c>
      <c r="G640" s="109"/>
      <c r="H640" s="109">
        <v>40260</v>
      </c>
      <c r="I640" s="109">
        <v>40290</v>
      </c>
      <c r="J640" s="71"/>
      <c r="K640" s="110"/>
    </row>
    <row r="641" spans="1:11" ht="22.5">
      <c r="A641" s="71" t="s">
        <v>304</v>
      </c>
      <c r="B641" s="107" t="s">
        <v>305</v>
      </c>
      <c r="C641" s="71"/>
      <c r="D641" s="71" t="s">
        <v>306</v>
      </c>
      <c r="E641" s="108">
        <v>490000</v>
      </c>
      <c r="F641" s="109">
        <v>40261</v>
      </c>
      <c r="G641" s="109"/>
      <c r="H641" s="109">
        <v>40266</v>
      </c>
      <c r="I641" s="109"/>
      <c r="J641" s="71"/>
      <c r="K641" s="110"/>
    </row>
    <row r="642" spans="1:11">
      <c r="A642" s="71" t="s">
        <v>307</v>
      </c>
      <c r="B642" s="107" t="s">
        <v>308</v>
      </c>
      <c r="C642" s="71" t="s">
        <v>309</v>
      </c>
      <c r="D642" s="71" t="s">
        <v>310</v>
      </c>
      <c r="E642" s="108">
        <v>120753.4</v>
      </c>
      <c r="F642" s="109">
        <v>40267</v>
      </c>
      <c r="G642" s="109">
        <v>40399</v>
      </c>
      <c r="H642" s="109">
        <v>40283</v>
      </c>
      <c r="I642" s="109">
        <v>40287</v>
      </c>
      <c r="J642" s="71"/>
      <c r="K642" s="110"/>
    </row>
    <row r="643" spans="1:11">
      <c r="A643" s="71" t="s">
        <v>311</v>
      </c>
      <c r="B643" s="107" t="s">
        <v>1221</v>
      </c>
      <c r="C643" s="71" t="s">
        <v>1058</v>
      </c>
      <c r="D643" s="71" t="s">
        <v>312</v>
      </c>
      <c r="E643" s="108">
        <v>704000</v>
      </c>
      <c r="F643" s="109">
        <v>40289</v>
      </c>
      <c r="G643" s="109"/>
      <c r="H643" s="109">
        <v>40295</v>
      </c>
      <c r="I643" s="109">
        <v>40311</v>
      </c>
      <c r="J643" s="71"/>
      <c r="K643" s="110"/>
    </row>
    <row r="644" spans="1:11">
      <c r="A644" s="71" t="s">
        <v>313</v>
      </c>
      <c r="B644" s="107" t="s">
        <v>2520</v>
      </c>
      <c r="C644" s="71" t="s">
        <v>314</v>
      </c>
      <c r="D644" s="71" t="s">
        <v>315</v>
      </c>
      <c r="E644" s="108">
        <v>243355</v>
      </c>
      <c r="F644" s="109">
        <v>40260</v>
      </c>
      <c r="G644" s="109"/>
      <c r="H644" s="109">
        <v>40268</v>
      </c>
      <c r="I644" s="109">
        <v>40269</v>
      </c>
      <c r="J644" s="71"/>
      <c r="K644" s="110"/>
    </row>
    <row r="645" spans="1:11">
      <c r="A645" s="71" t="s">
        <v>316</v>
      </c>
      <c r="B645" s="107" t="s">
        <v>1131</v>
      </c>
      <c r="C645" s="71" t="s">
        <v>317</v>
      </c>
      <c r="D645" s="71" t="s">
        <v>318</v>
      </c>
      <c r="E645" s="108"/>
      <c r="F645" s="109">
        <v>40234</v>
      </c>
      <c r="G645" s="109"/>
      <c r="H645" s="109">
        <v>40296</v>
      </c>
      <c r="I645" s="109"/>
      <c r="J645" s="71"/>
      <c r="K645" s="110"/>
    </row>
    <row r="646" spans="1:11">
      <c r="A646" s="71" t="s">
        <v>319</v>
      </c>
      <c r="B646" s="107" t="s">
        <v>2543</v>
      </c>
      <c r="C646" s="71" t="s">
        <v>1365</v>
      </c>
      <c r="D646" s="71" t="s">
        <v>320</v>
      </c>
      <c r="E646" s="108">
        <v>1286286</v>
      </c>
      <c r="F646" s="109">
        <v>40263</v>
      </c>
      <c r="G646" s="109"/>
      <c r="H646" s="109">
        <v>40294</v>
      </c>
      <c r="I646" s="109">
        <v>40296</v>
      </c>
      <c r="J646" s="71"/>
      <c r="K646" s="110"/>
    </row>
    <row r="647" spans="1:11">
      <c r="A647" s="71" t="s">
        <v>321</v>
      </c>
      <c r="B647" s="107" t="s">
        <v>2507</v>
      </c>
      <c r="C647" s="71"/>
      <c r="D647" s="71" t="s">
        <v>322</v>
      </c>
      <c r="E647" s="108">
        <v>175000</v>
      </c>
      <c r="F647" s="109">
        <v>40299</v>
      </c>
      <c r="G647" s="109"/>
      <c r="H647" s="109">
        <v>40330</v>
      </c>
      <c r="I647" s="109"/>
      <c r="J647" s="71"/>
      <c r="K647" s="110"/>
    </row>
    <row r="648" spans="1:11">
      <c r="A648" s="71" t="s">
        <v>323</v>
      </c>
      <c r="B648" s="107" t="s">
        <v>2538</v>
      </c>
      <c r="C648" s="71" t="s">
        <v>1435</v>
      </c>
      <c r="D648" s="71" t="s">
        <v>324</v>
      </c>
      <c r="E648" s="108">
        <v>675007</v>
      </c>
      <c r="F648" s="109">
        <v>40309</v>
      </c>
      <c r="G648" s="109"/>
      <c r="H648" s="109">
        <v>40315</v>
      </c>
      <c r="I648" s="109">
        <v>40417</v>
      </c>
      <c r="J648" s="71"/>
      <c r="K648" s="110"/>
    </row>
    <row r="649" spans="1:11">
      <c r="A649" s="71" t="s">
        <v>325</v>
      </c>
      <c r="B649" s="107" t="s">
        <v>326</v>
      </c>
      <c r="C649" s="71" t="s">
        <v>1435</v>
      </c>
      <c r="D649" s="71" t="s">
        <v>327</v>
      </c>
      <c r="E649" s="108">
        <v>716007</v>
      </c>
      <c r="F649" s="109">
        <v>40282</v>
      </c>
      <c r="G649" s="109"/>
      <c r="H649" s="109">
        <v>40283</v>
      </c>
      <c r="I649" s="109">
        <v>40298</v>
      </c>
      <c r="J649" s="71"/>
      <c r="K649" s="110"/>
    </row>
    <row r="650" spans="1:11">
      <c r="A650" s="71" t="s">
        <v>328</v>
      </c>
      <c r="B650" s="107" t="s">
        <v>329</v>
      </c>
      <c r="C650" s="71" t="s">
        <v>1359</v>
      </c>
      <c r="D650" s="71" t="s">
        <v>330</v>
      </c>
      <c r="E650" s="108">
        <v>4092920</v>
      </c>
      <c r="F650" s="109">
        <v>40302</v>
      </c>
      <c r="G650" s="109"/>
      <c r="H650" s="109">
        <v>40308</v>
      </c>
      <c r="I650" s="109">
        <v>40310</v>
      </c>
      <c r="J650" s="71"/>
      <c r="K650" s="110"/>
    </row>
    <row r="651" spans="1:11">
      <c r="A651" s="71" t="s">
        <v>331</v>
      </c>
      <c r="B651" s="107" t="s">
        <v>2538</v>
      </c>
      <c r="C651" s="71"/>
      <c r="D651" s="71" t="s">
        <v>332</v>
      </c>
      <c r="E651" s="108">
        <v>400000</v>
      </c>
      <c r="F651" s="109">
        <v>40318</v>
      </c>
      <c r="G651" s="109"/>
      <c r="H651" s="109">
        <v>40319</v>
      </c>
      <c r="I651" s="109">
        <v>40310</v>
      </c>
      <c r="J651" s="71"/>
      <c r="K651" s="110"/>
    </row>
    <row r="652" spans="1:11">
      <c r="A652" s="71" t="s">
        <v>333</v>
      </c>
      <c r="B652" s="107" t="s">
        <v>2538</v>
      </c>
      <c r="C652" s="71"/>
      <c r="D652" s="71" t="s">
        <v>334</v>
      </c>
      <c r="E652" s="108">
        <v>1200000</v>
      </c>
      <c r="F652" s="109">
        <v>40352</v>
      </c>
      <c r="G652" s="109"/>
      <c r="H652" s="109">
        <v>40353</v>
      </c>
      <c r="I652" s="109"/>
      <c r="J652" s="71"/>
      <c r="K652" s="110"/>
    </row>
    <row r="653" spans="1:11">
      <c r="A653" s="71" t="s">
        <v>335</v>
      </c>
      <c r="B653" s="107" t="s">
        <v>2538</v>
      </c>
      <c r="C653" s="71"/>
      <c r="D653" s="71" t="s">
        <v>336</v>
      </c>
      <c r="E653" s="108">
        <v>1200000</v>
      </c>
      <c r="F653" s="109">
        <v>40386</v>
      </c>
      <c r="G653" s="109"/>
      <c r="H653" s="109">
        <v>40387</v>
      </c>
      <c r="I653" s="109"/>
      <c r="J653" s="71"/>
      <c r="K653" s="110"/>
    </row>
    <row r="654" spans="1:11" ht="22.5">
      <c r="A654" s="71" t="s">
        <v>337</v>
      </c>
      <c r="B654" s="107" t="s">
        <v>2520</v>
      </c>
      <c r="C654" s="71" t="s">
        <v>338</v>
      </c>
      <c r="D654" s="71" t="s">
        <v>339</v>
      </c>
      <c r="E654" s="108">
        <v>748595</v>
      </c>
      <c r="F654" s="109">
        <v>40267</v>
      </c>
      <c r="G654" s="109"/>
      <c r="H654" s="109">
        <v>40275</v>
      </c>
      <c r="I654" s="109">
        <v>40275</v>
      </c>
      <c r="J654" s="71"/>
      <c r="K654" s="110"/>
    </row>
    <row r="655" spans="1:11" ht="22.5">
      <c r="A655" s="71" t="s">
        <v>340</v>
      </c>
      <c r="B655" s="107" t="s">
        <v>2520</v>
      </c>
      <c r="C655" s="71" t="s">
        <v>341</v>
      </c>
      <c r="D655" s="71" t="s">
        <v>342</v>
      </c>
      <c r="E655" s="108"/>
      <c r="F655" s="109">
        <v>40267</v>
      </c>
      <c r="G655" s="109"/>
      <c r="H655" s="109">
        <v>40275</v>
      </c>
      <c r="I655" s="109"/>
      <c r="J655" s="71"/>
      <c r="K655" s="110"/>
    </row>
    <row r="656" spans="1:11" ht="22.5">
      <c r="A656" s="71" t="s">
        <v>343</v>
      </c>
      <c r="B656" s="107" t="s">
        <v>2520</v>
      </c>
      <c r="C656" s="71" t="s">
        <v>341</v>
      </c>
      <c r="D656" s="71" t="s">
        <v>344</v>
      </c>
      <c r="E656" s="108"/>
      <c r="F656" s="109">
        <v>40267</v>
      </c>
      <c r="G656" s="109"/>
      <c r="H656" s="109">
        <v>40275</v>
      </c>
      <c r="I656" s="109"/>
      <c r="J656" s="71"/>
      <c r="K656" s="110"/>
    </row>
    <row r="657" spans="1:11">
      <c r="A657" s="71" t="s">
        <v>345</v>
      </c>
      <c r="B657" s="107" t="s">
        <v>2538</v>
      </c>
      <c r="C657" s="71" t="s">
        <v>1435</v>
      </c>
      <c r="D657" s="71" t="s">
        <v>1327</v>
      </c>
      <c r="E657" s="108">
        <v>1277007</v>
      </c>
      <c r="F657" s="109">
        <v>40395</v>
      </c>
      <c r="G657" s="109"/>
      <c r="H657" s="109">
        <v>40395</v>
      </c>
      <c r="I657" s="109">
        <v>40406</v>
      </c>
      <c r="J657" s="71"/>
      <c r="K657" s="110"/>
    </row>
    <row r="658" spans="1:11" ht="33.75">
      <c r="A658" s="71" t="s">
        <v>346</v>
      </c>
      <c r="B658" s="107" t="s">
        <v>2509</v>
      </c>
      <c r="C658" s="71" t="s">
        <v>347</v>
      </c>
      <c r="D658" s="71" t="s">
        <v>348</v>
      </c>
      <c r="E658" s="108">
        <v>236236</v>
      </c>
      <c r="F658" s="109">
        <v>40269</v>
      </c>
      <c r="G658" s="109"/>
      <c r="H658" s="109">
        <v>40273</v>
      </c>
      <c r="I658" s="109">
        <v>40275</v>
      </c>
      <c r="J658" s="71" t="s">
        <v>349</v>
      </c>
      <c r="K658" s="110"/>
    </row>
    <row r="659" spans="1:11" ht="22.5">
      <c r="A659" s="71" t="s">
        <v>350</v>
      </c>
      <c r="B659" s="107" t="s">
        <v>2509</v>
      </c>
      <c r="C659" s="71" t="s">
        <v>351</v>
      </c>
      <c r="D659" s="71" t="s">
        <v>352</v>
      </c>
      <c r="E659" s="108"/>
      <c r="F659" s="109">
        <v>40268</v>
      </c>
      <c r="G659" s="109"/>
      <c r="H659" s="109" t="s">
        <v>1893</v>
      </c>
      <c r="I659" s="109"/>
      <c r="J659" s="71"/>
      <c r="K659" s="110"/>
    </row>
    <row r="660" spans="1:11">
      <c r="A660" s="71" t="s">
        <v>353</v>
      </c>
      <c r="B660" s="107" t="s">
        <v>104</v>
      </c>
      <c r="C660" s="71" t="s">
        <v>1109</v>
      </c>
      <c r="D660" s="71" t="s">
        <v>354</v>
      </c>
      <c r="E660" s="108">
        <v>137400</v>
      </c>
      <c r="F660" s="109">
        <v>40269</v>
      </c>
      <c r="G660" s="109">
        <v>40431</v>
      </c>
      <c r="H660" s="109">
        <v>40281</v>
      </c>
      <c r="I660" s="109">
        <v>40316</v>
      </c>
      <c r="J660" s="71"/>
      <c r="K660" s="110" t="s">
        <v>2877</v>
      </c>
    </row>
    <row r="661" spans="1:11">
      <c r="A661" s="71" t="s">
        <v>355</v>
      </c>
      <c r="B661" s="107" t="s">
        <v>104</v>
      </c>
      <c r="C661" s="71"/>
      <c r="D661" s="71" t="s">
        <v>356</v>
      </c>
      <c r="E661" s="108">
        <v>300000</v>
      </c>
      <c r="F661" s="109">
        <v>40269</v>
      </c>
      <c r="G661" s="109"/>
      <c r="H661" s="109">
        <v>40281</v>
      </c>
      <c r="I661" s="109"/>
      <c r="J661" s="71"/>
      <c r="K661" s="110" t="s">
        <v>2877</v>
      </c>
    </row>
    <row r="662" spans="1:11">
      <c r="A662" s="71" t="s">
        <v>357</v>
      </c>
      <c r="B662" s="107" t="s">
        <v>358</v>
      </c>
      <c r="C662" s="71" t="s">
        <v>359</v>
      </c>
      <c r="D662" s="71" t="s">
        <v>360</v>
      </c>
      <c r="E662" s="108">
        <v>461061.92</v>
      </c>
      <c r="F662" s="109">
        <v>40283</v>
      </c>
      <c r="G662" s="109"/>
      <c r="H662" s="109">
        <v>40344</v>
      </c>
      <c r="I662" s="109">
        <v>40345</v>
      </c>
      <c r="J662" s="71"/>
      <c r="K662" s="110"/>
    </row>
    <row r="663" spans="1:11">
      <c r="A663" s="71" t="s">
        <v>361</v>
      </c>
      <c r="B663" s="107" t="s">
        <v>2509</v>
      </c>
      <c r="C663" s="71" t="s">
        <v>362</v>
      </c>
      <c r="D663" s="71" t="s">
        <v>363</v>
      </c>
      <c r="E663" s="108">
        <v>253422.04</v>
      </c>
      <c r="F663" s="109">
        <v>40269</v>
      </c>
      <c r="G663" s="109">
        <v>40396</v>
      </c>
      <c r="H663" s="109">
        <v>40273</v>
      </c>
      <c r="I663" s="109">
        <v>40275</v>
      </c>
      <c r="J663" s="71"/>
      <c r="K663" s="110"/>
    </row>
    <row r="664" spans="1:11">
      <c r="A664" s="71" t="s">
        <v>364</v>
      </c>
      <c r="B664" s="107" t="s">
        <v>1213</v>
      </c>
      <c r="C664" s="71" t="s">
        <v>1365</v>
      </c>
      <c r="D664" s="71" t="s">
        <v>365</v>
      </c>
      <c r="E664" s="108">
        <v>641465.43000000005</v>
      </c>
      <c r="F664" s="109">
        <v>40297</v>
      </c>
      <c r="G664" s="109"/>
      <c r="H664" s="109">
        <v>40303</v>
      </c>
      <c r="I664" s="109">
        <v>40311</v>
      </c>
      <c r="J664" s="71"/>
      <c r="K664" s="110"/>
    </row>
    <row r="665" spans="1:11">
      <c r="A665" s="71" t="s">
        <v>366</v>
      </c>
      <c r="B665" s="107" t="s">
        <v>2543</v>
      </c>
      <c r="C665" s="71" t="s">
        <v>1359</v>
      </c>
      <c r="D665" s="71" t="s">
        <v>367</v>
      </c>
      <c r="E665" s="108">
        <v>1224144</v>
      </c>
      <c r="F665" s="109">
        <v>40275</v>
      </c>
      <c r="G665" s="109"/>
      <c r="H665" s="109">
        <v>40294</v>
      </c>
      <c r="I665" s="109">
        <v>40295</v>
      </c>
      <c r="J665" s="71"/>
      <c r="K665" s="110"/>
    </row>
    <row r="666" spans="1:11">
      <c r="A666" s="71" t="s">
        <v>368</v>
      </c>
      <c r="B666" s="107" t="s">
        <v>2516</v>
      </c>
      <c r="C666" s="71" t="s">
        <v>1482</v>
      </c>
      <c r="D666" s="71" t="s">
        <v>369</v>
      </c>
      <c r="E666" s="108">
        <v>175253</v>
      </c>
      <c r="F666" s="109">
        <v>40242</v>
      </c>
      <c r="G666" s="109"/>
      <c r="H666" s="109">
        <v>40270</v>
      </c>
      <c r="I666" s="109">
        <v>40270</v>
      </c>
      <c r="J666" s="71"/>
      <c r="K666" s="110"/>
    </row>
    <row r="667" spans="1:11">
      <c r="A667" s="71" t="s">
        <v>370</v>
      </c>
      <c r="B667" s="107" t="s">
        <v>1211</v>
      </c>
      <c r="C667" s="71" t="s">
        <v>371</v>
      </c>
      <c r="D667" s="71" t="s">
        <v>372</v>
      </c>
      <c r="E667" s="108"/>
      <c r="F667" s="109">
        <v>40299</v>
      </c>
      <c r="G667" s="109"/>
      <c r="H667" s="109">
        <v>40391</v>
      </c>
      <c r="I667" s="109"/>
      <c r="J667" s="71"/>
      <c r="K667" s="110"/>
    </row>
    <row r="668" spans="1:11" ht="22.5">
      <c r="A668" s="71" t="s">
        <v>373</v>
      </c>
      <c r="B668" s="107" t="s">
        <v>1286</v>
      </c>
      <c r="C668" s="71" t="s">
        <v>374</v>
      </c>
      <c r="D668" s="71" t="s">
        <v>375</v>
      </c>
      <c r="E668" s="108"/>
      <c r="F668" s="109">
        <v>40343</v>
      </c>
      <c r="G668" s="109"/>
      <c r="H668" s="109"/>
      <c r="I668" s="109"/>
      <c r="J668" s="71"/>
      <c r="K668" s="110"/>
    </row>
    <row r="669" spans="1:11">
      <c r="A669" s="71" t="s">
        <v>376</v>
      </c>
      <c r="B669" s="107" t="s">
        <v>2520</v>
      </c>
      <c r="C669" s="71" t="s">
        <v>377</v>
      </c>
      <c r="D669" s="71" t="s">
        <v>378</v>
      </c>
      <c r="E669" s="108">
        <v>120320</v>
      </c>
      <c r="F669" s="109">
        <v>40276</v>
      </c>
      <c r="G669" s="109"/>
      <c r="H669" s="109">
        <v>40291</v>
      </c>
      <c r="I669" s="109">
        <v>40295</v>
      </c>
      <c r="J669" s="71"/>
      <c r="K669" s="110"/>
    </row>
    <row r="670" spans="1:11">
      <c r="A670" s="71" t="s">
        <v>379</v>
      </c>
      <c r="B670" s="107" t="s">
        <v>2520</v>
      </c>
      <c r="C670" s="71" t="s">
        <v>377</v>
      </c>
      <c r="D670" s="71" t="s">
        <v>380</v>
      </c>
      <c r="E670" s="108">
        <v>195815</v>
      </c>
      <c r="F670" s="109">
        <v>40276</v>
      </c>
      <c r="G670" s="109"/>
      <c r="H670" s="109">
        <v>40291</v>
      </c>
      <c r="I670" s="109">
        <v>40295</v>
      </c>
      <c r="J670" s="71"/>
      <c r="K670" s="110"/>
    </row>
    <row r="671" spans="1:11">
      <c r="A671" s="71" t="s">
        <v>381</v>
      </c>
      <c r="B671" s="107" t="s">
        <v>2520</v>
      </c>
      <c r="C671" s="71" t="s">
        <v>377</v>
      </c>
      <c r="D671" s="71" t="s">
        <v>382</v>
      </c>
      <c r="E671" s="108">
        <v>324245</v>
      </c>
      <c r="F671" s="109">
        <v>40276</v>
      </c>
      <c r="G671" s="109"/>
      <c r="H671" s="109">
        <v>40291</v>
      </c>
      <c r="I671" s="109">
        <v>40295</v>
      </c>
      <c r="J671" s="71"/>
      <c r="K671" s="110"/>
    </row>
    <row r="672" spans="1:11">
      <c r="A672" s="71" t="s">
        <v>383</v>
      </c>
      <c r="B672" s="107" t="s">
        <v>384</v>
      </c>
      <c r="C672" s="71" t="s">
        <v>385</v>
      </c>
      <c r="D672" s="71" t="s">
        <v>386</v>
      </c>
      <c r="E672" s="108">
        <v>227356</v>
      </c>
      <c r="F672" s="109">
        <v>40290</v>
      </c>
      <c r="G672" s="109"/>
      <c r="H672" s="109">
        <v>40304</v>
      </c>
      <c r="I672" s="109">
        <v>40326</v>
      </c>
      <c r="J672" s="71"/>
      <c r="K672" s="110"/>
    </row>
    <row r="673" spans="1:11">
      <c r="A673" s="71" t="s">
        <v>387</v>
      </c>
      <c r="B673" s="107" t="s">
        <v>2503</v>
      </c>
      <c r="C673" s="71"/>
      <c r="D673" s="71" t="s">
        <v>388</v>
      </c>
      <c r="E673" s="108">
        <v>3000</v>
      </c>
      <c r="F673" s="109">
        <v>40294</v>
      </c>
      <c r="G673" s="109"/>
      <c r="H673" s="109">
        <v>40302</v>
      </c>
      <c r="I673" s="109"/>
      <c r="J673" s="71"/>
      <c r="K673" s="110"/>
    </row>
    <row r="674" spans="1:11">
      <c r="A674" s="71" t="s">
        <v>389</v>
      </c>
      <c r="B674" s="107" t="s">
        <v>2520</v>
      </c>
      <c r="C674" s="71" t="s">
        <v>377</v>
      </c>
      <c r="D674" s="71" t="s">
        <v>390</v>
      </c>
      <c r="E674" s="108">
        <v>286965</v>
      </c>
      <c r="F674" s="109">
        <v>40276</v>
      </c>
      <c r="G674" s="109"/>
      <c r="H674" s="109">
        <v>40291</v>
      </c>
      <c r="I674" s="109">
        <v>40295</v>
      </c>
      <c r="J674" s="111">
        <v>80705.5</v>
      </c>
      <c r="K674" s="110"/>
    </row>
    <row r="675" spans="1:11">
      <c r="A675" s="71" t="s">
        <v>391</v>
      </c>
      <c r="B675" s="107" t="s">
        <v>2509</v>
      </c>
      <c r="C675" s="71" t="s">
        <v>392</v>
      </c>
      <c r="D675" s="71" t="s">
        <v>393</v>
      </c>
      <c r="E675" s="108"/>
      <c r="F675" s="109">
        <v>40267</v>
      </c>
      <c r="G675" s="109">
        <v>40269</v>
      </c>
      <c r="H675" s="109">
        <v>40269</v>
      </c>
      <c r="I675" s="109"/>
      <c r="J675" s="71"/>
      <c r="K675" s="110"/>
    </row>
    <row r="676" spans="1:11">
      <c r="A676" s="71" t="s">
        <v>394</v>
      </c>
      <c r="B676" s="107" t="s">
        <v>2524</v>
      </c>
      <c r="C676" s="71" t="s">
        <v>9</v>
      </c>
      <c r="D676" s="71" t="s">
        <v>395</v>
      </c>
      <c r="E676" s="108">
        <v>149100</v>
      </c>
      <c r="F676" s="109">
        <v>40278</v>
      </c>
      <c r="G676" s="109"/>
      <c r="H676" s="109">
        <v>40312</v>
      </c>
      <c r="I676" s="109">
        <v>40319</v>
      </c>
      <c r="J676" s="71"/>
      <c r="K676" s="110"/>
    </row>
    <row r="677" spans="1:11">
      <c r="A677" s="71" t="s">
        <v>396</v>
      </c>
      <c r="B677" s="107" t="s">
        <v>2524</v>
      </c>
      <c r="C677" s="71" t="s">
        <v>397</v>
      </c>
      <c r="D677" s="71" t="s">
        <v>398</v>
      </c>
      <c r="E677" s="108">
        <v>566006</v>
      </c>
      <c r="F677" s="109">
        <v>40284</v>
      </c>
      <c r="G677" s="109"/>
      <c r="H677" s="109">
        <v>40339</v>
      </c>
      <c r="I677" s="109">
        <v>40339</v>
      </c>
      <c r="J677" s="71"/>
      <c r="K677" s="110"/>
    </row>
    <row r="678" spans="1:11" ht="22.5">
      <c r="A678" s="71" t="s">
        <v>399</v>
      </c>
      <c r="B678" s="107" t="s">
        <v>2543</v>
      </c>
      <c r="C678" s="71" t="s">
        <v>1200</v>
      </c>
      <c r="D678" s="71" t="s">
        <v>400</v>
      </c>
      <c r="E678" s="108">
        <v>192214.75</v>
      </c>
      <c r="F678" s="109">
        <v>40276</v>
      </c>
      <c r="G678" s="109"/>
      <c r="H678" s="109">
        <v>40294</v>
      </c>
      <c r="I678" s="109">
        <v>40296</v>
      </c>
      <c r="J678" s="71"/>
      <c r="K678" s="110"/>
    </row>
    <row r="679" spans="1:11">
      <c r="A679" s="71" t="s">
        <v>401</v>
      </c>
      <c r="B679" s="107" t="s">
        <v>1111</v>
      </c>
      <c r="C679" s="71"/>
      <c r="D679" s="71" t="s">
        <v>402</v>
      </c>
      <c r="E679" s="108">
        <v>1000000</v>
      </c>
      <c r="F679" s="109">
        <v>40318</v>
      </c>
      <c r="G679" s="109"/>
      <c r="H679" s="109">
        <v>40318</v>
      </c>
      <c r="I679" s="109"/>
      <c r="J679" s="71"/>
      <c r="K679" s="110"/>
    </row>
    <row r="680" spans="1:11">
      <c r="A680" s="71" t="s">
        <v>403</v>
      </c>
      <c r="B680" s="107" t="s">
        <v>2520</v>
      </c>
      <c r="C680" s="71" t="s">
        <v>148</v>
      </c>
      <c r="D680" s="71" t="s">
        <v>404</v>
      </c>
      <c r="E680" s="108">
        <v>445000</v>
      </c>
      <c r="F680" s="109">
        <v>40311</v>
      </c>
      <c r="G680" s="109"/>
      <c r="H680" s="109">
        <v>40311</v>
      </c>
      <c r="I680" s="109">
        <v>40311</v>
      </c>
      <c r="J680" s="71"/>
      <c r="K680" s="110"/>
    </row>
    <row r="681" spans="1:11">
      <c r="A681" s="71" t="s">
        <v>405</v>
      </c>
      <c r="B681" s="107" t="s">
        <v>2520</v>
      </c>
      <c r="C681" s="71" t="s">
        <v>406</v>
      </c>
      <c r="D681" s="71" t="s">
        <v>407</v>
      </c>
      <c r="E681" s="108"/>
      <c r="F681" s="109">
        <v>40291</v>
      </c>
      <c r="G681" s="109"/>
      <c r="H681" s="109">
        <v>40298</v>
      </c>
      <c r="I681" s="109"/>
      <c r="J681" s="71"/>
      <c r="K681" s="110"/>
    </row>
    <row r="682" spans="1:11">
      <c r="A682" s="71" t="s">
        <v>408</v>
      </c>
      <c r="B682" s="107" t="s">
        <v>2520</v>
      </c>
      <c r="C682" s="71" t="s">
        <v>406</v>
      </c>
      <c r="D682" s="71" t="s">
        <v>409</v>
      </c>
      <c r="E682" s="108"/>
      <c r="F682" s="109">
        <v>40291</v>
      </c>
      <c r="G682" s="109"/>
      <c r="H682" s="109">
        <v>40298</v>
      </c>
      <c r="I682" s="109"/>
      <c r="J682" s="71"/>
      <c r="K682" s="110"/>
    </row>
    <row r="683" spans="1:11">
      <c r="A683" s="71" t="s">
        <v>410</v>
      </c>
      <c r="B683" s="107" t="s">
        <v>2520</v>
      </c>
      <c r="C683" s="71" t="s">
        <v>406</v>
      </c>
      <c r="D683" s="71" t="s">
        <v>411</v>
      </c>
      <c r="E683" s="108"/>
      <c r="F683" s="109">
        <v>40291</v>
      </c>
      <c r="G683" s="109"/>
      <c r="H683" s="109">
        <v>40298</v>
      </c>
      <c r="I683" s="109"/>
      <c r="J683" s="71"/>
      <c r="K683" s="110"/>
    </row>
    <row r="684" spans="1:11">
      <c r="A684" s="71" t="s">
        <v>412</v>
      </c>
      <c r="B684" s="107" t="s">
        <v>2520</v>
      </c>
      <c r="C684" s="71" t="s">
        <v>1120</v>
      </c>
      <c r="D684" s="71" t="s">
        <v>413</v>
      </c>
      <c r="E684" s="108">
        <v>293995</v>
      </c>
      <c r="F684" s="109">
        <v>40347</v>
      </c>
      <c r="G684" s="109"/>
      <c r="H684" s="109">
        <v>40357</v>
      </c>
      <c r="I684" s="109">
        <v>40358</v>
      </c>
      <c r="J684" s="71"/>
      <c r="K684" s="110"/>
    </row>
    <row r="685" spans="1:11">
      <c r="A685" s="71" t="s">
        <v>414</v>
      </c>
      <c r="B685" s="107" t="s">
        <v>2520</v>
      </c>
      <c r="C685" s="71" t="s">
        <v>205</v>
      </c>
      <c r="D685" s="71" t="s">
        <v>413</v>
      </c>
      <c r="E685" s="108">
        <v>606400</v>
      </c>
      <c r="F685" s="109">
        <v>40340</v>
      </c>
      <c r="G685" s="109"/>
      <c r="H685" s="109">
        <v>40350</v>
      </c>
      <c r="I685" s="109">
        <v>40347</v>
      </c>
      <c r="J685" s="71"/>
      <c r="K685" s="110"/>
    </row>
    <row r="686" spans="1:11">
      <c r="A686" s="71" t="s">
        <v>415</v>
      </c>
      <c r="B686" s="107" t="s">
        <v>2520</v>
      </c>
      <c r="C686" s="71" t="s">
        <v>1120</v>
      </c>
      <c r="D686" s="71" t="s">
        <v>413</v>
      </c>
      <c r="E686" s="108">
        <v>292500</v>
      </c>
      <c r="F686" s="109">
        <v>40347</v>
      </c>
      <c r="G686" s="109"/>
      <c r="H686" s="109">
        <v>40357</v>
      </c>
      <c r="I686" s="109">
        <v>40358</v>
      </c>
      <c r="J686" s="71"/>
      <c r="K686" s="110"/>
    </row>
    <row r="687" spans="1:11">
      <c r="A687" s="71" t="s">
        <v>416</v>
      </c>
      <c r="B687" s="107" t="s">
        <v>2520</v>
      </c>
      <c r="C687" s="71" t="s">
        <v>417</v>
      </c>
      <c r="D687" s="71" t="s">
        <v>413</v>
      </c>
      <c r="E687" s="108">
        <v>266800</v>
      </c>
      <c r="F687" s="109">
        <v>40347</v>
      </c>
      <c r="G687" s="109"/>
      <c r="H687" s="109">
        <v>40357</v>
      </c>
      <c r="I687" s="109">
        <v>40358</v>
      </c>
      <c r="J687" s="71"/>
      <c r="K687" s="110"/>
    </row>
    <row r="688" spans="1:11">
      <c r="A688" s="71" t="s">
        <v>418</v>
      </c>
      <c r="B688" s="107" t="s">
        <v>2538</v>
      </c>
      <c r="C688" s="71" t="s">
        <v>2518</v>
      </c>
      <c r="D688" s="71" t="s">
        <v>419</v>
      </c>
      <c r="E688" s="108"/>
      <c r="F688" s="109">
        <v>40391</v>
      </c>
      <c r="G688" s="109"/>
      <c r="H688" s="109">
        <v>40422</v>
      </c>
      <c r="I688" s="109"/>
      <c r="J688" s="71"/>
      <c r="K688" s="110"/>
    </row>
    <row r="689" spans="1:11">
      <c r="A689" s="71" t="s">
        <v>420</v>
      </c>
      <c r="B689" s="107" t="s">
        <v>1301</v>
      </c>
      <c r="C689" s="71" t="s">
        <v>421</v>
      </c>
      <c r="D689" s="71" t="s">
        <v>422</v>
      </c>
      <c r="E689" s="108"/>
      <c r="F689" s="109">
        <v>40277</v>
      </c>
      <c r="G689" s="109"/>
      <c r="H689" s="109">
        <v>40280</v>
      </c>
      <c r="I689" s="109">
        <v>40305</v>
      </c>
      <c r="J689" s="71"/>
      <c r="K689" s="110"/>
    </row>
    <row r="690" spans="1:11" ht="22.5">
      <c r="A690" s="71" t="s">
        <v>423</v>
      </c>
      <c r="B690" s="107" t="s">
        <v>196</v>
      </c>
      <c r="C690" s="71"/>
      <c r="D690" s="71" t="s">
        <v>424</v>
      </c>
      <c r="E690" s="108">
        <v>900000</v>
      </c>
      <c r="F690" s="109">
        <v>40287</v>
      </c>
      <c r="G690" s="109"/>
      <c r="H690" s="109">
        <v>40304</v>
      </c>
      <c r="I690" s="109"/>
      <c r="J690" s="71"/>
      <c r="K690" s="110"/>
    </row>
    <row r="691" spans="1:11">
      <c r="A691" s="71" t="s">
        <v>425</v>
      </c>
      <c r="B691" s="107" t="s">
        <v>2538</v>
      </c>
      <c r="C691" s="71" t="s">
        <v>1365</v>
      </c>
      <c r="D691" s="71" t="s">
        <v>426</v>
      </c>
      <c r="E691" s="108">
        <v>706706</v>
      </c>
      <c r="F691" s="109">
        <v>40337</v>
      </c>
      <c r="G691" s="109"/>
      <c r="H691" s="109">
        <v>40338</v>
      </c>
      <c r="I691" s="109">
        <v>40346</v>
      </c>
      <c r="J691" s="71"/>
      <c r="K691" s="110"/>
    </row>
    <row r="692" spans="1:11">
      <c r="A692" s="71" t="s">
        <v>427</v>
      </c>
      <c r="B692" s="107" t="s">
        <v>2520</v>
      </c>
      <c r="C692" s="71" t="s">
        <v>205</v>
      </c>
      <c r="D692" s="71" t="s">
        <v>428</v>
      </c>
      <c r="E692" s="108">
        <v>2247331</v>
      </c>
      <c r="F692" s="109">
        <v>40276</v>
      </c>
      <c r="G692" s="109"/>
      <c r="H692" s="109">
        <v>40339</v>
      </c>
      <c r="I692" s="109">
        <v>40345</v>
      </c>
      <c r="J692" s="71"/>
      <c r="K692" s="110" t="s">
        <v>2877</v>
      </c>
    </row>
    <row r="693" spans="1:11">
      <c r="A693" s="71" t="s">
        <v>429</v>
      </c>
      <c r="B693" s="107" t="s">
        <v>2507</v>
      </c>
      <c r="C693" s="71" t="s">
        <v>1359</v>
      </c>
      <c r="D693" s="71" t="s">
        <v>430</v>
      </c>
      <c r="E693" s="108">
        <v>454000</v>
      </c>
      <c r="F693" s="109">
        <v>40277</v>
      </c>
      <c r="G693" s="109"/>
      <c r="H693" s="109">
        <v>40298</v>
      </c>
      <c r="I693" s="109">
        <v>40296</v>
      </c>
      <c r="J693" s="71"/>
      <c r="K693" s="110"/>
    </row>
    <row r="694" spans="1:11">
      <c r="A694" s="71" t="s">
        <v>431</v>
      </c>
      <c r="B694" s="107" t="s">
        <v>2516</v>
      </c>
      <c r="C694" s="71" t="s">
        <v>85</v>
      </c>
      <c r="D694" s="71" t="s">
        <v>432</v>
      </c>
      <c r="E694" s="108">
        <v>268981.31</v>
      </c>
      <c r="F694" s="109">
        <v>40283</v>
      </c>
      <c r="G694" s="109">
        <v>40421</v>
      </c>
      <c r="H694" s="109">
        <v>40295</v>
      </c>
      <c r="I694" s="109">
        <v>40295</v>
      </c>
      <c r="J694" s="71"/>
      <c r="K694" s="110"/>
    </row>
    <row r="695" spans="1:11" ht="22.5">
      <c r="A695" s="71" t="s">
        <v>433</v>
      </c>
      <c r="B695" s="107" t="s">
        <v>434</v>
      </c>
      <c r="C695" s="71" t="s">
        <v>435</v>
      </c>
      <c r="D695" s="71" t="s">
        <v>436</v>
      </c>
      <c r="E695" s="108"/>
      <c r="F695" s="109">
        <v>40281</v>
      </c>
      <c r="G695" s="109"/>
      <c r="H695" s="109">
        <v>40298</v>
      </c>
      <c r="I695" s="109"/>
      <c r="J695" s="71"/>
      <c r="K695" s="110"/>
    </row>
    <row r="696" spans="1:11">
      <c r="A696" s="71" t="s">
        <v>437</v>
      </c>
      <c r="B696" s="107" t="s">
        <v>63</v>
      </c>
      <c r="C696" s="71"/>
      <c r="D696" s="71" t="s">
        <v>438</v>
      </c>
      <c r="E696" s="108">
        <v>1435000</v>
      </c>
      <c r="F696" s="109">
        <v>40294</v>
      </c>
      <c r="G696" s="109"/>
      <c r="H696" s="109">
        <v>40304</v>
      </c>
      <c r="I696" s="109"/>
      <c r="J696" s="71"/>
      <c r="K696" s="110"/>
    </row>
    <row r="697" spans="1:11">
      <c r="A697" s="71" t="s">
        <v>439</v>
      </c>
      <c r="B697" s="107" t="s">
        <v>2538</v>
      </c>
      <c r="C697" s="71"/>
      <c r="D697" s="71" t="s">
        <v>440</v>
      </c>
      <c r="E697" s="108">
        <v>274000</v>
      </c>
      <c r="F697" s="109">
        <v>40324</v>
      </c>
      <c r="G697" s="109"/>
      <c r="H697" s="109">
        <v>40325</v>
      </c>
      <c r="I697" s="109"/>
      <c r="J697" s="71"/>
      <c r="K697" s="110"/>
    </row>
    <row r="698" spans="1:11">
      <c r="A698" s="71" t="s">
        <v>441</v>
      </c>
      <c r="B698" s="107" t="s">
        <v>2538</v>
      </c>
      <c r="C698" s="71" t="s">
        <v>1370</v>
      </c>
      <c r="D698" s="71" t="s">
        <v>442</v>
      </c>
      <c r="E698" s="108">
        <v>1512444</v>
      </c>
      <c r="F698" s="109">
        <v>40367</v>
      </c>
      <c r="G698" s="109"/>
      <c r="H698" s="109">
        <v>40379</v>
      </c>
      <c r="I698" s="109">
        <v>40387</v>
      </c>
      <c r="J698" s="71"/>
      <c r="K698" s="110"/>
    </row>
    <row r="699" spans="1:11">
      <c r="A699" s="71" t="s">
        <v>443</v>
      </c>
      <c r="B699" s="107" t="s">
        <v>2538</v>
      </c>
      <c r="C699" s="71" t="s">
        <v>1365</v>
      </c>
      <c r="D699" s="71" t="s">
        <v>444</v>
      </c>
      <c r="E699" s="108">
        <v>1076160.3700000001</v>
      </c>
      <c r="F699" s="109">
        <v>40359</v>
      </c>
      <c r="G699" s="109"/>
      <c r="H699" s="109">
        <v>40360</v>
      </c>
      <c r="I699" s="109">
        <v>40387</v>
      </c>
      <c r="J699" s="71"/>
      <c r="K699" s="110"/>
    </row>
    <row r="700" spans="1:11">
      <c r="A700" s="71" t="s">
        <v>445</v>
      </c>
      <c r="B700" s="107" t="s">
        <v>2520</v>
      </c>
      <c r="C700" s="71" t="s">
        <v>3118</v>
      </c>
      <c r="D700" s="71" t="s">
        <v>446</v>
      </c>
      <c r="E700" s="108"/>
      <c r="F700" s="109">
        <v>40297</v>
      </c>
      <c r="G700" s="109"/>
      <c r="H700" s="109">
        <v>40305</v>
      </c>
      <c r="I700" s="109"/>
      <c r="J700" s="71"/>
      <c r="K700" s="110"/>
    </row>
    <row r="701" spans="1:11">
      <c r="A701" s="71" t="s">
        <v>447</v>
      </c>
      <c r="B701" s="107" t="s">
        <v>2520</v>
      </c>
      <c r="C701" s="71" t="s">
        <v>3118</v>
      </c>
      <c r="D701" s="71" t="s">
        <v>448</v>
      </c>
      <c r="E701" s="108"/>
      <c r="F701" s="109">
        <v>40297</v>
      </c>
      <c r="G701" s="109"/>
      <c r="H701" s="109">
        <v>40305</v>
      </c>
      <c r="I701" s="109"/>
      <c r="J701" s="71"/>
      <c r="K701" s="110"/>
    </row>
    <row r="702" spans="1:11">
      <c r="A702" s="71" t="s">
        <v>449</v>
      </c>
      <c r="B702" s="107" t="s">
        <v>450</v>
      </c>
      <c r="C702" s="71" t="s">
        <v>1212</v>
      </c>
      <c r="D702" s="71" t="s">
        <v>451</v>
      </c>
      <c r="E702" s="108">
        <v>2200000</v>
      </c>
      <c r="F702" s="109" t="s">
        <v>1334</v>
      </c>
      <c r="G702" s="109"/>
      <c r="H702" s="109">
        <v>40315</v>
      </c>
      <c r="I702" s="109"/>
      <c r="J702" s="71"/>
      <c r="K702" s="110"/>
    </row>
    <row r="703" spans="1:11">
      <c r="A703" s="71" t="s">
        <v>449</v>
      </c>
      <c r="B703" s="107"/>
      <c r="C703" s="71" t="s">
        <v>452</v>
      </c>
      <c r="D703" s="71"/>
      <c r="E703" s="108">
        <v>331331</v>
      </c>
      <c r="F703" s="109">
        <v>40375</v>
      </c>
      <c r="G703" s="109"/>
      <c r="H703" s="109">
        <v>40385</v>
      </c>
      <c r="I703" s="109">
        <v>40385</v>
      </c>
      <c r="J703" s="71"/>
      <c r="K703" s="110"/>
    </row>
    <row r="704" spans="1:11">
      <c r="A704" s="71" t="s">
        <v>449</v>
      </c>
      <c r="B704" s="107"/>
      <c r="C704" s="71" t="s">
        <v>1268</v>
      </c>
      <c r="D704" s="71"/>
      <c r="E704" s="108">
        <v>180199</v>
      </c>
      <c r="F704" s="109">
        <v>40396</v>
      </c>
      <c r="G704" s="109"/>
      <c r="H704" s="109">
        <v>40400</v>
      </c>
      <c r="I704" s="109">
        <v>40400</v>
      </c>
      <c r="J704" s="71"/>
      <c r="K704" s="110"/>
    </row>
    <row r="705" spans="1:11">
      <c r="A705" s="71" t="s">
        <v>449</v>
      </c>
      <c r="B705" s="107"/>
      <c r="C705" s="71" t="s">
        <v>453</v>
      </c>
      <c r="D705" s="71"/>
      <c r="E705" s="108">
        <v>40216.75</v>
      </c>
      <c r="F705" s="109">
        <v>40396</v>
      </c>
      <c r="G705" s="109"/>
      <c r="H705" s="109">
        <v>40401</v>
      </c>
      <c r="I705" s="109">
        <v>40401</v>
      </c>
      <c r="J705" s="71"/>
      <c r="K705" s="110"/>
    </row>
    <row r="706" spans="1:11">
      <c r="A706" s="71" t="s">
        <v>449</v>
      </c>
      <c r="B706" s="107"/>
      <c r="C706" s="71" t="s">
        <v>454</v>
      </c>
      <c r="D706" s="71"/>
      <c r="E706" s="108">
        <v>68635</v>
      </c>
      <c r="F706" s="109">
        <v>40396</v>
      </c>
      <c r="G706" s="109"/>
      <c r="H706" s="109">
        <v>40401</v>
      </c>
      <c r="I706" s="109">
        <v>40401</v>
      </c>
      <c r="J706" s="71"/>
      <c r="K706" s="110"/>
    </row>
    <row r="707" spans="1:11">
      <c r="A707" s="71" t="s">
        <v>449</v>
      </c>
      <c r="B707" s="107"/>
      <c r="C707" s="71" t="s">
        <v>455</v>
      </c>
      <c r="D707" s="71"/>
      <c r="E707" s="108">
        <v>7176</v>
      </c>
      <c r="F707" s="109">
        <v>40396</v>
      </c>
      <c r="G707" s="109"/>
      <c r="H707" s="109">
        <v>40401</v>
      </c>
      <c r="I707" s="109">
        <v>40401</v>
      </c>
      <c r="J707" s="71"/>
      <c r="K707" s="110"/>
    </row>
    <row r="708" spans="1:11">
      <c r="A708" s="71" t="s">
        <v>449</v>
      </c>
      <c r="B708" s="107"/>
      <c r="C708" s="71" t="s">
        <v>456</v>
      </c>
      <c r="D708" s="71"/>
      <c r="E708" s="108">
        <v>99500</v>
      </c>
      <c r="F708" s="109">
        <v>40396</v>
      </c>
      <c r="G708" s="109"/>
      <c r="H708" s="109">
        <v>40401</v>
      </c>
      <c r="I708" s="109">
        <v>40401</v>
      </c>
      <c r="J708" s="71"/>
      <c r="K708" s="110"/>
    </row>
    <row r="709" spans="1:11">
      <c r="A709" s="71" t="s">
        <v>449</v>
      </c>
      <c r="B709" s="107"/>
      <c r="C709" s="71" t="s">
        <v>457</v>
      </c>
      <c r="D709" s="71"/>
      <c r="E709" s="108">
        <v>46661</v>
      </c>
      <c r="F709" s="109">
        <v>40396</v>
      </c>
      <c r="G709" s="109"/>
      <c r="H709" s="109">
        <v>40401</v>
      </c>
      <c r="I709" s="109">
        <v>40401</v>
      </c>
      <c r="J709" s="71"/>
      <c r="K709" s="110"/>
    </row>
    <row r="710" spans="1:11">
      <c r="A710" s="71" t="s">
        <v>449</v>
      </c>
      <c r="B710" s="107"/>
      <c r="C710" s="71" t="s">
        <v>458</v>
      </c>
      <c r="D710" s="71"/>
      <c r="E710" s="108">
        <v>39771</v>
      </c>
      <c r="F710" s="109">
        <v>40396</v>
      </c>
      <c r="G710" s="109"/>
      <c r="H710" s="109">
        <v>40401</v>
      </c>
      <c r="I710" s="109">
        <v>40401</v>
      </c>
      <c r="J710" s="71"/>
      <c r="K710" s="110"/>
    </row>
    <row r="711" spans="1:11">
      <c r="A711" s="71" t="s">
        <v>449</v>
      </c>
      <c r="B711" s="107"/>
      <c r="C711" s="71" t="s">
        <v>459</v>
      </c>
      <c r="D711" s="71"/>
      <c r="E711" s="108"/>
      <c r="F711" s="109"/>
      <c r="G711" s="109"/>
      <c r="H711" s="109"/>
      <c r="I711" s="109"/>
      <c r="J711" s="71"/>
      <c r="K711" s="110"/>
    </row>
    <row r="712" spans="1:11">
      <c r="A712" s="71" t="s">
        <v>449</v>
      </c>
      <c r="B712" s="107"/>
      <c r="C712" s="71" t="s">
        <v>453</v>
      </c>
      <c r="D712" s="71"/>
      <c r="E712" s="108"/>
      <c r="F712" s="109"/>
      <c r="G712" s="109"/>
      <c r="H712" s="109"/>
      <c r="I712" s="109"/>
      <c r="J712" s="71"/>
      <c r="K712" s="110"/>
    </row>
    <row r="713" spans="1:11">
      <c r="A713" s="71" t="s">
        <v>449</v>
      </c>
      <c r="B713" s="107"/>
      <c r="C713" s="71" t="s">
        <v>460</v>
      </c>
      <c r="D713" s="71"/>
      <c r="E713" s="108"/>
      <c r="F713" s="109"/>
      <c r="G713" s="109"/>
      <c r="H713" s="109"/>
      <c r="I713" s="109"/>
      <c r="J713" s="71"/>
      <c r="K713" s="110"/>
    </row>
    <row r="714" spans="1:11">
      <c r="A714" s="71" t="s">
        <v>449</v>
      </c>
      <c r="B714" s="107"/>
      <c r="C714" s="71" t="s">
        <v>1255</v>
      </c>
      <c r="D714" s="71"/>
      <c r="E714" s="108"/>
      <c r="F714" s="109"/>
      <c r="G714" s="109"/>
      <c r="H714" s="109"/>
      <c r="I714" s="109"/>
      <c r="J714" s="71"/>
      <c r="K714" s="110"/>
    </row>
    <row r="715" spans="1:11">
      <c r="A715" s="71" t="s">
        <v>449</v>
      </c>
      <c r="B715" s="107"/>
      <c r="C715" s="71" t="s">
        <v>461</v>
      </c>
      <c r="D715" s="71"/>
      <c r="E715" s="108"/>
      <c r="F715" s="109"/>
      <c r="G715" s="109"/>
      <c r="H715" s="109"/>
      <c r="I715" s="109"/>
      <c r="J715" s="71"/>
      <c r="K715" s="110"/>
    </row>
    <row r="716" spans="1:11">
      <c r="A716" s="71" t="s">
        <v>449</v>
      </c>
      <c r="B716" s="107"/>
      <c r="C716" s="71" t="s">
        <v>462</v>
      </c>
      <c r="D716" s="71"/>
      <c r="E716" s="108"/>
      <c r="F716" s="109"/>
      <c r="G716" s="109"/>
      <c r="H716" s="109"/>
      <c r="I716" s="109"/>
      <c r="J716" s="71"/>
      <c r="K716" s="110"/>
    </row>
    <row r="717" spans="1:11">
      <c r="A717" s="71" t="s">
        <v>449</v>
      </c>
      <c r="B717" s="107"/>
      <c r="C717" s="71" t="s">
        <v>1321</v>
      </c>
      <c r="D717" s="71"/>
      <c r="E717" s="108"/>
      <c r="F717" s="109"/>
      <c r="G717" s="109"/>
      <c r="H717" s="109"/>
      <c r="I717" s="109"/>
      <c r="J717" s="71"/>
      <c r="K717" s="110"/>
    </row>
    <row r="718" spans="1:11">
      <c r="A718" s="71" t="s">
        <v>463</v>
      </c>
      <c r="B718" s="107" t="s">
        <v>1221</v>
      </c>
      <c r="C718" s="71" t="s">
        <v>2518</v>
      </c>
      <c r="D718" s="71" t="s">
        <v>464</v>
      </c>
      <c r="E718" s="108"/>
      <c r="F718" s="109">
        <v>40266</v>
      </c>
      <c r="G718" s="109"/>
      <c r="H718" s="109">
        <v>40267</v>
      </c>
      <c r="I718" s="109"/>
      <c r="J718" s="71"/>
      <c r="K718" s="110"/>
    </row>
    <row r="719" spans="1:11" ht="22.5">
      <c r="A719" s="71" t="s">
        <v>465</v>
      </c>
      <c r="B719" s="107" t="s">
        <v>466</v>
      </c>
      <c r="C719" s="71" t="s">
        <v>467</v>
      </c>
      <c r="D719" s="71" t="s">
        <v>468</v>
      </c>
      <c r="E719" s="108"/>
      <c r="F719" s="109">
        <v>40297</v>
      </c>
      <c r="G719" s="109"/>
      <c r="H719" s="109">
        <v>40389</v>
      </c>
      <c r="I719" s="109">
        <v>40394</v>
      </c>
      <c r="J719" s="71"/>
      <c r="K719" s="110"/>
    </row>
    <row r="720" spans="1:11">
      <c r="A720" s="71" t="s">
        <v>469</v>
      </c>
      <c r="B720" s="107" t="s">
        <v>2520</v>
      </c>
      <c r="C720" s="71" t="s">
        <v>261</v>
      </c>
      <c r="D720" s="71" t="s">
        <v>470</v>
      </c>
      <c r="E720" s="108">
        <v>287400</v>
      </c>
      <c r="F720" s="109">
        <v>40311</v>
      </c>
      <c r="G720" s="109"/>
      <c r="H720" s="109">
        <v>40319</v>
      </c>
      <c r="I720" s="109">
        <v>40318</v>
      </c>
      <c r="J720" s="71"/>
      <c r="K720" s="110" t="s">
        <v>2877</v>
      </c>
    </row>
    <row r="721" spans="1:11">
      <c r="A721" s="71" t="s">
        <v>471</v>
      </c>
      <c r="B721" s="107" t="s">
        <v>2520</v>
      </c>
      <c r="C721" s="71" t="s">
        <v>205</v>
      </c>
      <c r="D721" s="71" t="s">
        <v>472</v>
      </c>
      <c r="E721" s="108">
        <v>434000</v>
      </c>
      <c r="F721" s="109">
        <v>40311</v>
      </c>
      <c r="G721" s="109"/>
      <c r="H721" s="109">
        <v>40319</v>
      </c>
      <c r="I721" s="109">
        <v>40318</v>
      </c>
      <c r="J721" s="71"/>
      <c r="K721" s="110" t="s">
        <v>2877</v>
      </c>
    </row>
    <row r="722" spans="1:11">
      <c r="A722" s="71" t="s">
        <v>473</v>
      </c>
      <c r="B722" s="107" t="s">
        <v>474</v>
      </c>
      <c r="C722" s="71" t="s">
        <v>167</v>
      </c>
      <c r="D722" s="71" t="s">
        <v>475</v>
      </c>
      <c r="E722" s="108">
        <v>130000</v>
      </c>
      <c r="F722" s="109">
        <v>40304</v>
      </c>
      <c r="G722" s="109"/>
      <c r="H722" s="109">
        <v>40304</v>
      </c>
      <c r="I722" s="109"/>
      <c r="J722" s="71"/>
      <c r="K722" s="110"/>
    </row>
    <row r="723" spans="1:11">
      <c r="A723" s="71" t="s">
        <v>476</v>
      </c>
      <c r="B723" s="107" t="s">
        <v>1062</v>
      </c>
      <c r="C723" s="71" t="s">
        <v>1435</v>
      </c>
      <c r="D723" s="71" t="s">
        <v>477</v>
      </c>
      <c r="E723" s="108">
        <v>149709.16</v>
      </c>
      <c r="F723" s="109">
        <v>40318</v>
      </c>
      <c r="G723" s="109"/>
      <c r="H723" s="109">
        <v>40318</v>
      </c>
      <c r="I723" s="109">
        <v>40319</v>
      </c>
      <c r="J723" s="71"/>
      <c r="K723" s="110"/>
    </row>
    <row r="724" spans="1:11" ht="22.5">
      <c r="A724" s="71" t="s">
        <v>478</v>
      </c>
      <c r="B724" s="107" t="s">
        <v>479</v>
      </c>
      <c r="C724" s="71" t="s">
        <v>480</v>
      </c>
      <c r="D724" s="71" t="s">
        <v>481</v>
      </c>
      <c r="E724" s="108">
        <v>1135792</v>
      </c>
      <c r="F724" s="109">
        <v>40358</v>
      </c>
      <c r="G724" s="109"/>
      <c r="H724" s="109">
        <v>40395</v>
      </c>
      <c r="I724" s="109">
        <v>40420</v>
      </c>
      <c r="J724" s="71"/>
      <c r="K724" s="110"/>
    </row>
    <row r="725" spans="1:11">
      <c r="A725" s="71" t="s">
        <v>482</v>
      </c>
      <c r="B725" s="107" t="s">
        <v>483</v>
      </c>
      <c r="C725" s="71" t="s">
        <v>282</v>
      </c>
      <c r="D725" s="71" t="s">
        <v>484</v>
      </c>
      <c r="E725" s="108"/>
      <c r="F725" s="109">
        <v>40316</v>
      </c>
      <c r="G725" s="109"/>
      <c r="H725" s="109">
        <v>40234</v>
      </c>
      <c r="I725" s="109"/>
      <c r="J725" s="71"/>
      <c r="K725" s="110"/>
    </row>
    <row r="726" spans="1:11">
      <c r="A726" s="71" t="s">
        <v>485</v>
      </c>
      <c r="B726" s="107" t="s">
        <v>1400</v>
      </c>
      <c r="C726" s="71"/>
      <c r="D726" s="71" t="s">
        <v>486</v>
      </c>
      <c r="E726" s="108">
        <v>500000</v>
      </c>
      <c r="F726" s="109">
        <v>40297</v>
      </c>
      <c r="G726" s="109"/>
      <c r="H726" s="109">
        <v>40304</v>
      </c>
      <c r="I726" s="109"/>
      <c r="J726" s="71"/>
      <c r="K726" s="110"/>
    </row>
    <row r="727" spans="1:11">
      <c r="A727" s="71" t="s">
        <v>487</v>
      </c>
      <c r="B727" s="107" t="s">
        <v>1110</v>
      </c>
      <c r="C727" s="71"/>
      <c r="D727" s="71" t="s">
        <v>488</v>
      </c>
      <c r="E727" s="108">
        <v>400000</v>
      </c>
      <c r="F727" s="109">
        <v>40296</v>
      </c>
      <c r="G727" s="109"/>
      <c r="H727" s="109">
        <v>40303</v>
      </c>
      <c r="I727" s="109"/>
      <c r="J727" s="71"/>
      <c r="K727" s="110"/>
    </row>
    <row r="728" spans="1:11">
      <c r="A728" s="71" t="s">
        <v>489</v>
      </c>
      <c r="B728" s="107" t="s">
        <v>1110</v>
      </c>
      <c r="C728" s="71"/>
      <c r="D728" s="71" t="s">
        <v>490</v>
      </c>
      <c r="E728" s="108">
        <v>1600000</v>
      </c>
      <c r="F728" s="109">
        <v>40324</v>
      </c>
      <c r="G728" s="109"/>
      <c r="H728" s="109">
        <v>40331</v>
      </c>
      <c r="I728" s="109"/>
      <c r="J728" s="71"/>
      <c r="K728" s="110"/>
    </row>
    <row r="729" spans="1:11">
      <c r="A729" s="71" t="s">
        <v>491</v>
      </c>
      <c r="B729" s="107" t="s">
        <v>2538</v>
      </c>
      <c r="C729" s="71"/>
      <c r="D729" s="71" t="s">
        <v>492</v>
      </c>
      <c r="E729" s="108">
        <v>3605745</v>
      </c>
      <c r="F729" s="109">
        <v>40274</v>
      </c>
      <c r="G729" s="109"/>
      <c r="H729" s="109">
        <v>40374</v>
      </c>
      <c r="I729" s="109"/>
      <c r="J729" s="71"/>
      <c r="K729" s="110"/>
    </row>
    <row r="730" spans="1:11">
      <c r="A730" s="71" t="s">
        <v>493</v>
      </c>
      <c r="B730" s="107" t="s">
        <v>2538</v>
      </c>
      <c r="C730" s="71"/>
      <c r="D730" s="71" t="s">
        <v>494</v>
      </c>
      <c r="E730" s="108">
        <v>1474380</v>
      </c>
      <c r="F730" s="109">
        <v>40373</v>
      </c>
      <c r="G730" s="109"/>
      <c r="H730" s="109">
        <v>40374</v>
      </c>
      <c r="I730" s="109"/>
      <c r="J730" s="71"/>
      <c r="K730" s="110"/>
    </row>
    <row r="731" spans="1:11" ht="22.5">
      <c r="A731" s="71" t="s">
        <v>495</v>
      </c>
      <c r="B731" s="107" t="s">
        <v>496</v>
      </c>
      <c r="C731" s="71"/>
      <c r="D731" s="71" t="s">
        <v>497</v>
      </c>
      <c r="E731" s="108">
        <v>1500000</v>
      </c>
      <c r="F731" s="109">
        <v>40288</v>
      </c>
      <c r="G731" s="109"/>
      <c r="H731" s="109">
        <v>40304</v>
      </c>
      <c r="I731" s="109"/>
      <c r="J731" s="71"/>
      <c r="K731" s="110"/>
    </row>
    <row r="732" spans="1:11">
      <c r="A732" s="71" t="s">
        <v>498</v>
      </c>
      <c r="B732" s="107" t="s">
        <v>499</v>
      </c>
      <c r="C732" s="71"/>
      <c r="D732" s="71" t="s">
        <v>500</v>
      </c>
      <c r="E732" s="108">
        <v>400208</v>
      </c>
      <c r="F732" s="109">
        <v>40312</v>
      </c>
      <c r="G732" s="109"/>
      <c r="H732" s="109">
        <v>40316</v>
      </c>
      <c r="I732" s="109"/>
      <c r="J732" s="71"/>
      <c r="K732" s="110"/>
    </row>
    <row r="733" spans="1:11">
      <c r="A733" s="71" t="s">
        <v>501</v>
      </c>
      <c r="B733" s="107" t="s">
        <v>1062</v>
      </c>
      <c r="C733" s="71" t="s">
        <v>502</v>
      </c>
      <c r="D733" s="71" t="s">
        <v>503</v>
      </c>
      <c r="E733" s="108">
        <v>183840</v>
      </c>
      <c r="F733" s="109">
        <v>40312</v>
      </c>
      <c r="G733" s="109"/>
      <c r="H733" s="109">
        <v>40318</v>
      </c>
      <c r="I733" s="109">
        <v>40319</v>
      </c>
      <c r="J733" s="71"/>
      <c r="K733" s="110"/>
    </row>
    <row r="734" spans="1:11">
      <c r="A734" s="71" t="s">
        <v>504</v>
      </c>
      <c r="B734" s="107" t="s">
        <v>1062</v>
      </c>
      <c r="C734" s="71" t="s">
        <v>505</v>
      </c>
      <c r="D734" s="71" t="s">
        <v>506</v>
      </c>
      <c r="E734" s="108"/>
      <c r="F734" s="109">
        <v>40312</v>
      </c>
      <c r="G734" s="109"/>
      <c r="H734" s="109">
        <v>40318</v>
      </c>
      <c r="I734" s="109">
        <v>40319</v>
      </c>
      <c r="J734" s="71"/>
      <c r="K734" s="110"/>
    </row>
    <row r="735" spans="1:11">
      <c r="A735" s="71" t="s">
        <v>507</v>
      </c>
      <c r="B735" s="107" t="s">
        <v>1062</v>
      </c>
      <c r="C735" s="71" t="s">
        <v>153</v>
      </c>
      <c r="D735" s="71" t="s">
        <v>508</v>
      </c>
      <c r="E735" s="108">
        <v>357100</v>
      </c>
      <c r="F735" s="109">
        <v>40312</v>
      </c>
      <c r="G735" s="109"/>
      <c r="H735" s="109">
        <v>40318</v>
      </c>
      <c r="I735" s="109">
        <v>40319</v>
      </c>
      <c r="J735" s="71"/>
      <c r="K735" s="110"/>
    </row>
    <row r="736" spans="1:11">
      <c r="A736" s="71" t="s">
        <v>509</v>
      </c>
      <c r="B736" s="107" t="s">
        <v>1062</v>
      </c>
      <c r="C736" s="71" t="s">
        <v>153</v>
      </c>
      <c r="D736" s="71" t="s">
        <v>510</v>
      </c>
      <c r="E736" s="108">
        <v>313950</v>
      </c>
      <c r="F736" s="109">
        <v>40312</v>
      </c>
      <c r="G736" s="109"/>
      <c r="H736" s="109">
        <v>40318</v>
      </c>
      <c r="I736" s="109">
        <v>40319</v>
      </c>
      <c r="J736" s="71"/>
      <c r="K736" s="110"/>
    </row>
    <row r="737" spans="1:11">
      <c r="A737" s="71" t="s">
        <v>511</v>
      </c>
      <c r="B737" s="107" t="s">
        <v>1062</v>
      </c>
      <c r="C737" s="71" t="s">
        <v>505</v>
      </c>
      <c r="D737" s="71" t="s">
        <v>512</v>
      </c>
      <c r="E737" s="108"/>
      <c r="F737" s="109">
        <v>40312</v>
      </c>
      <c r="G737" s="109"/>
      <c r="H737" s="109">
        <v>40318</v>
      </c>
      <c r="I737" s="109">
        <v>40319</v>
      </c>
      <c r="J737" s="71"/>
      <c r="K737" s="110"/>
    </row>
    <row r="738" spans="1:11">
      <c r="A738" s="71" t="s">
        <v>513</v>
      </c>
      <c r="B738" s="107" t="s">
        <v>514</v>
      </c>
      <c r="C738" s="71" t="s">
        <v>515</v>
      </c>
      <c r="D738" s="71" t="s">
        <v>516</v>
      </c>
      <c r="E738" s="108">
        <v>100000</v>
      </c>
      <c r="F738" s="109">
        <v>40280</v>
      </c>
      <c r="G738" s="109"/>
      <c r="H738" s="109">
        <v>40257</v>
      </c>
      <c r="I738" s="109">
        <v>40280</v>
      </c>
      <c r="J738" s="71"/>
      <c r="K738" s="110"/>
    </row>
    <row r="739" spans="1:11" ht="25.5">
      <c r="A739" s="71" t="s">
        <v>517</v>
      </c>
      <c r="B739" s="107" t="s">
        <v>518</v>
      </c>
      <c r="C739" s="71" t="s">
        <v>261</v>
      </c>
      <c r="D739" s="71" t="s">
        <v>519</v>
      </c>
      <c r="E739" s="108">
        <v>290000</v>
      </c>
      <c r="F739" s="109">
        <v>40280</v>
      </c>
      <c r="G739" s="109"/>
      <c r="H739" s="109">
        <v>40282</v>
      </c>
      <c r="I739" s="109">
        <v>40283</v>
      </c>
      <c r="J739" s="71"/>
      <c r="K739" s="110" t="s">
        <v>520</v>
      </c>
    </row>
    <row r="740" spans="1:11" ht="22.5">
      <c r="A740" s="71" t="s">
        <v>521</v>
      </c>
      <c r="B740" s="107" t="s">
        <v>2520</v>
      </c>
      <c r="C740" s="71" t="s">
        <v>522</v>
      </c>
      <c r="D740" s="71" t="s">
        <v>523</v>
      </c>
      <c r="E740" s="108">
        <v>1734046</v>
      </c>
      <c r="F740" s="109">
        <v>40262</v>
      </c>
      <c r="G740" s="109"/>
      <c r="H740" s="109">
        <v>40308</v>
      </c>
      <c r="I740" s="109">
        <v>40345</v>
      </c>
      <c r="J740" s="71"/>
      <c r="K740" s="110"/>
    </row>
    <row r="741" spans="1:11">
      <c r="A741" s="71" t="s">
        <v>524</v>
      </c>
      <c r="B741" s="107" t="s">
        <v>525</v>
      </c>
      <c r="C741" s="71"/>
      <c r="D741" s="71" t="s">
        <v>526</v>
      </c>
      <c r="E741" s="108">
        <v>4500000</v>
      </c>
      <c r="F741" s="109">
        <v>40360</v>
      </c>
      <c r="G741" s="109"/>
      <c r="H741" s="109">
        <v>40391</v>
      </c>
      <c r="I741" s="109"/>
      <c r="J741" s="71"/>
      <c r="K741" s="110"/>
    </row>
    <row r="742" spans="1:11" ht="22.5">
      <c r="A742" s="71" t="s">
        <v>527</v>
      </c>
      <c r="B742" s="107" t="s">
        <v>2520</v>
      </c>
      <c r="C742" s="71" t="s">
        <v>522</v>
      </c>
      <c r="D742" s="71" t="s">
        <v>528</v>
      </c>
      <c r="E742" s="108">
        <v>1307204</v>
      </c>
      <c r="F742" s="109">
        <v>40275</v>
      </c>
      <c r="G742" s="109"/>
      <c r="H742" s="109">
        <v>40323</v>
      </c>
      <c r="I742" s="109">
        <v>40345</v>
      </c>
      <c r="J742" s="71"/>
      <c r="K742" s="110"/>
    </row>
    <row r="743" spans="1:11">
      <c r="A743" s="71" t="s">
        <v>529</v>
      </c>
      <c r="B743" s="107" t="s">
        <v>104</v>
      </c>
      <c r="C743" s="71" t="s">
        <v>530</v>
      </c>
      <c r="D743" s="71" t="s">
        <v>531</v>
      </c>
      <c r="E743" s="108">
        <v>261413</v>
      </c>
      <c r="F743" s="109">
        <v>40316</v>
      </c>
      <c r="G743" s="109">
        <v>40423</v>
      </c>
      <c r="H743" s="109">
        <v>40323</v>
      </c>
      <c r="I743" s="109">
        <v>40424</v>
      </c>
      <c r="J743" s="71"/>
      <c r="K743" s="110"/>
    </row>
    <row r="744" spans="1:11">
      <c r="A744" s="71" t="s">
        <v>532</v>
      </c>
      <c r="B744" s="107" t="s">
        <v>1063</v>
      </c>
      <c r="C744" s="71"/>
      <c r="D744" s="71" t="s">
        <v>533</v>
      </c>
      <c r="E744" s="108">
        <v>220000</v>
      </c>
      <c r="F744" s="109">
        <v>40299</v>
      </c>
      <c r="G744" s="109"/>
      <c r="H744" s="109">
        <v>40328</v>
      </c>
      <c r="I744" s="109"/>
      <c r="J744" s="71"/>
      <c r="K744" s="110"/>
    </row>
    <row r="745" spans="1:11" ht="22.5">
      <c r="A745" s="71" t="s">
        <v>534</v>
      </c>
      <c r="B745" s="107" t="s">
        <v>535</v>
      </c>
      <c r="C745" s="71" t="s">
        <v>536</v>
      </c>
      <c r="D745" s="71" t="s">
        <v>537</v>
      </c>
      <c r="E745" s="108">
        <v>250000</v>
      </c>
      <c r="F745" s="109">
        <v>40311</v>
      </c>
      <c r="G745" s="109"/>
      <c r="H745" s="109">
        <v>40318</v>
      </c>
      <c r="I745" s="109"/>
      <c r="J745" s="71"/>
      <c r="K745" s="110"/>
    </row>
    <row r="746" spans="1:11">
      <c r="A746" s="71" t="s">
        <v>538</v>
      </c>
      <c r="B746" s="107" t="s">
        <v>1068</v>
      </c>
      <c r="C746" s="71"/>
      <c r="D746" s="71" t="s">
        <v>539</v>
      </c>
      <c r="E746" s="108">
        <v>400000</v>
      </c>
      <c r="F746" s="109">
        <v>40319</v>
      </c>
      <c r="G746" s="109"/>
      <c r="H746" s="109">
        <v>40324</v>
      </c>
      <c r="I746" s="109"/>
      <c r="J746" s="71"/>
      <c r="K746" s="110"/>
    </row>
    <row r="747" spans="1:11">
      <c r="A747" s="71" t="s">
        <v>540</v>
      </c>
      <c r="B747" s="107" t="s">
        <v>2507</v>
      </c>
      <c r="C747" s="71"/>
      <c r="D747" s="71" t="s">
        <v>541</v>
      </c>
      <c r="E747" s="108">
        <v>150000</v>
      </c>
      <c r="F747" s="109" t="s">
        <v>1123</v>
      </c>
      <c r="G747" s="109"/>
      <c r="H747" s="109" t="s">
        <v>1123</v>
      </c>
      <c r="I747" s="109"/>
      <c r="J747" s="71"/>
      <c r="K747" s="110"/>
    </row>
    <row r="748" spans="1:11">
      <c r="A748" s="71" t="s">
        <v>542</v>
      </c>
      <c r="B748" s="107" t="s">
        <v>1096</v>
      </c>
      <c r="C748" s="71" t="s">
        <v>543</v>
      </c>
      <c r="D748" s="71" t="s">
        <v>544</v>
      </c>
      <c r="E748" s="108"/>
      <c r="F748" s="109">
        <v>40332</v>
      </c>
      <c r="G748" s="109"/>
      <c r="H748" s="109">
        <v>40338</v>
      </c>
      <c r="I748" s="109"/>
      <c r="J748" s="71"/>
      <c r="K748" s="110"/>
    </row>
    <row r="749" spans="1:11" ht="22.5">
      <c r="A749" s="71" t="s">
        <v>545</v>
      </c>
      <c r="B749" s="107" t="s">
        <v>2524</v>
      </c>
      <c r="C749" s="71" t="s">
        <v>546</v>
      </c>
      <c r="D749" s="71" t="s">
        <v>547</v>
      </c>
      <c r="E749" s="108">
        <v>226257.35</v>
      </c>
      <c r="F749" s="109">
        <v>40311</v>
      </c>
      <c r="G749" s="109"/>
      <c r="H749" s="109">
        <v>40344</v>
      </c>
      <c r="I749" s="109">
        <v>40351</v>
      </c>
      <c r="J749" s="71"/>
      <c r="K749" s="110"/>
    </row>
    <row r="750" spans="1:11">
      <c r="A750" s="71" t="s">
        <v>548</v>
      </c>
      <c r="B750" s="107" t="s">
        <v>1068</v>
      </c>
      <c r="C750" s="71"/>
      <c r="D750" s="71" t="s">
        <v>549</v>
      </c>
      <c r="E750" s="108">
        <v>400000</v>
      </c>
      <c r="F750" s="109">
        <v>40319</v>
      </c>
      <c r="G750" s="109"/>
      <c r="H750" s="109">
        <v>40324</v>
      </c>
      <c r="I750" s="109"/>
      <c r="J750" s="71"/>
      <c r="K750" s="110"/>
    </row>
    <row r="751" spans="1:11">
      <c r="A751" s="71" t="s">
        <v>550</v>
      </c>
      <c r="B751" s="107" t="s">
        <v>2524</v>
      </c>
      <c r="C751" s="71" t="s">
        <v>1435</v>
      </c>
      <c r="D751" s="71" t="s">
        <v>551</v>
      </c>
      <c r="E751" s="108">
        <v>149007</v>
      </c>
      <c r="F751" s="109">
        <v>40324</v>
      </c>
      <c r="G751" s="109"/>
      <c r="H751" s="109">
        <v>40358</v>
      </c>
      <c r="I751" s="109">
        <v>40360</v>
      </c>
      <c r="J751" s="71"/>
      <c r="K751" s="110"/>
    </row>
    <row r="752" spans="1:11">
      <c r="A752" s="71" t="s">
        <v>552</v>
      </c>
      <c r="B752" s="107" t="s">
        <v>2520</v>
      </c>
      <c r="C752" s="71" t="s">
        <v>553</v>
      </c>
      <c r="D752" s="71" t="s">
        <v>554</v>
      </c>
      <c r="E752" s="108">
        <v>179614.98</v>
      </c>
      <c r="F752" s="109">
        <v>40330</v>
      </c>
      <c r="G752" s="109"/>
      <c r="H752" s="109">
        <v>40343</v>
      </c>
      <c r="I752" s="109">
        <v>40345</v>
      </c>
      <c r="J752" s="71"/>
      <c r="K752" s="110"/>
    </row>
    <row r="753" spans="1:11">
      <c r="A753" s="71" t="s">
        <v>555</v>
      </c>
      <c r="B753" s="107" t="s">
        <v>2520</v>
      </c>
      <c r="C753" s="71"/>
      <c r="D753" s="71" t="s">
        <v>556</v>
      </c>
      <c r="E753" s="108">
        <v>200000</v>
      </c>
      <c r="F753" s="109">
        <v>40326</v>
      </c>
      <c r="G753" s="109"/>
      <c r="H753" s="109">
        <v>40336</v>
      </c>
      <c r="I753" s="109"/>
      <c r="J753" s="71"/>
      <c r="K753" s="110"/>
    </row>
    <row r="754" spans="1:11">
      <c r="A754" s="71" t="s">
        <v>557</v>
      </c>
      <c r="B754" s="107" t="s">
        <v>2520</v>
      </c>
      <c r="C754" s="71"/>
      <c r="D754" s="71" t="s">
        <v>558</v>
      </c>
      <c r="E754" s="108">
        <v>200000</v>
      </c>
      <c r="F754" s="109">
        <v>40326</v>
      </c>
      <c r="G754" s="109"/>
      <c r="H754" s="109">
        <v>40336</v>
      </c>
      <c r="I754" s="109"/>
      <c r="J754" s="71"/>
      <c r="K754" s="110"/>
    </row>
    <row r="755" spans="1:11">
      <c r="A755" s="71" t="s">
        <v>559</v>
      </c>
      <c r="B755" s="107" t="s">
        <v>2520</v>
      </c>
      <c r="C755" s="71"/>
      <c r="D755" s="71" t="s">
        <v>560</v>
      </c>
      <c r="E755" s="108">
        <v>200000</v>
      </c>
      <c r="F755" s="109">
        <v>40326</v>
      </c>
      <c r="G755" s="109"/>
      <c r="H755" s="109">
        <v>40336</v>
      </c>
      <c r="I755" s="109"/>
      <c r="J755" s="71"/>
      <c r="K755" s="110"/>
    </row>
    <row r="756" spans="1:11" ht="22.5">
      <c r="A756" s="71" t="s">
        <v>561</v>
      </c>
      <c r="B756" s="107" t="s">
        <v>562</v>
      </c>
      <c r="C756" s="71"/>
      <c r="D756" s="71" t="s">
        <v>563</v>
      </c>
      <c r="E756" s="108">
        <v>170000</v>
      </c>
      <c r="F756" s="109">
        <v>40344</v>
      </c>
      <c r="G756" s="109"/>
      <c r="H756" s="109">
        <v>40360</v>
      </c>
      <c r="I756" s="109"/>
      <c r="J756" s="71"/>
      <c r="K756" s="110"/>
    </row>
    <row r="757" spans="1:11">
      <c r="A757" s="71" t="s">
        <v>564</v>
      </c>
      <c r="B757" s="107" t="s">
        <v>2520</v>
      </c>
      <c r="C757" s="71" t="s">
        <v>1506</v>
      </c>
      <c r="D757" s="71" t="s">
        <v>565</v>
      </c>
      <c r="E757" s="108">
        <v>313925</v>
      </c>
      <c r="F757" s="109">
        <v>40337</v>
      </c>
      <c r="G757" s="109"/>
      <c r="H757" s="109">
        <v>40318</v>
      </c>
      <c r="I757" s="109">
        <v>40347</v>
      </c>
      <c r="J757" s="71"/>
      <c r="K757" s="110"/>
    </row>
    <row r="758" spans="1:11">
      <c r="A758" s="71" t="s">
        <v>566</v>
      </c>
      <c r="B758" s="107" t="s">
        <v>2520</v>
      </c>
      <c r="C758" s="71" t="s">
        <v>567</v>
      </c>
      <c r="D758" s="71" t="s">
        <v>568</v>
      </c>
      <c r="E758" s="108">
        <v>280000</v>
      </c>
      <c r="F758" s="109">
        <v>40347</v>
      </c>
      <c r="G758" s="109"/>
      <c r="H758" s="109">
        <v>40357</v>
      </c>
      <c r="I758" s="109">
        <v>40358</v>
      </c>
      <c r="J758" s="71"/>
      <c r="K758" s="110"/>
    </row>
    <row r="759" spans="1:11">
      <c r="A759" s="71" t="s">
        <v>569</v>
      </c>
      <c r="B759" s="107" t="s">
        <v>2520</v>
      </c>
      <c r="C759" s="71" t="s">
        <v>570</v>
      </c>
      <c r="D759" s="71" t="s">
        <v>571</v>
      </c>
      <c r="E759" s="108"/>
      <c r="F759" s="109">
        <v>40310</v>
      </c>
      <c r="G759" s="109"/>
      <c r="H759" s="109">
        <v>40318</v>
      </c>
      <c r="I759" s="109"/>
      <c r="J759" s="71"/>
      <c r="K759" s="110"/>
    </row>
    <row r="760" spans="1:11">
      <c r="A760" s="71" t="s">
        <v>572</v>
      </c>
      <c r="B760" s="107" t="s">
        <v>59</v>
      </c>
      <c r="C760" s="71" t="s">
        <v>1112</v>
      </c>
      <c r="D760" s="71" t="s">
        <v>573</v>
      </c>
      <c r="E760" s="108">
        <v>253578</v>
      </c>
      <c r="F760" s="109">
        <v>40323</v>
      </c>
      <c r="G760" s="109"/>
      <c r="H760" s="109">
        <v>40325</v>
      </c>
      <c r="I760" s="109">
        <v>40332</v>
      </c>
      <c r="J760" s="71"/>
      <c r="K760" s="110"/>
    </row>
    <row r="761" spans="1:11" ht="22.5">
      <c r="A761" s="71" t="s">
        <v>574</v>
      </c>
      <c r="B761" s="107" t="s">
        <v>2509</v>
      </c>
      <c r="C761" s="71" t="s">
        <v>575</v>
      </c>
      <c r="D761" s="71" t="s">
        <v>576</v>
      </c>
      <c r="E761" s="108">
        <v>708325</v>
      </c>
      <c r="F761" s="109">
        <v>40353</v>
      </c>
      <c r="G761" s="109"/>
      <c r="H761" s="109">
        <v>40360</v>
      </c>
      <c r="I761" s="109">
        <v>40360</v>
      </c>
      <c r="J761" s="71"/>
      <c r="K761" s="110"/>
    </row>
    <row r="762" spans="1:11">
      <c r="A762" s="71" t="s">
        <v>577</v>
      </c>
      <c r="B762" s="107" t="s">
        <v>578</v>
      </c>
      <c r="C762" s="71" t="s">
        <v>1212</v>
      </c>
      <c r="D762" s="71" t="s">
        <v>579</v>
      </c>
      <c r="E762" s="108">
        <v>379759.76</v>
      </c>
      <c r="F762" s="109">
        <v>40373</v>
      </c>
      <c r="G762" s="109"/>
      <c r="H762" s="109">
        <v>40381</v>
      </c>
      <c r="I762" s="109"/>
      <c r="J762" s="71"/>
      <c r="K762" s="110"/>
    </row>
    <row r="763" spans="1:11">
      <c r="A763" s="71" t="s">
        <v>577</v>
      </c>
      <c r="B763" s="107"/>
      <c r="C763" s="71" t="s">
        <v>580</v>
      </c>
      <c r="D763" s="71"/>
      <c r="E763" s="108">
        <v>17800</v>
      </c>
      <c r="F763" s="109">
        <v>40435</v>
      </c>
      <c r="G763" s="109"/>
      <c r="H763" s="109"/>
      <c r="I763" s="109"/>
      <c r="J763" s="71"/>
      <c r="K763" s="110"/>
    </row>
    <row r="764" spans="1:11">
      <c r="A764" s="71" t="s">
        <v>577</v>
      </c>
      <c r="B764" s="107"/>
      <c r="C764" s="71" t="s">
        <v>1251</v>
      </c>
      <c r="D764" s="71"/>
      <c r="E764" s="108">
        <v>9925</v>
      </c>
      <c r="F764" s="109">
        <v>40435</v>
      </c>
      <c r="G764" s="109"/>
      <c r="H764" s="109"/>
      <c r="I764" s="109"/>
      <c r="J764" s="71"/>
      <c r="K764" s="110"/>
    </row>
    <row r="765" spans="1:11">
      <c r="A765" s="71" t="s">
        <v>577</v>
      </c>
      <c r="B765" s="107"/>
      <c r="C765" s="71" t="s">
        <v>1255</v>
      </c>
      <c r="D765" s="71"/>
      <c r="E765" s="108">
        <v>8000</v>
      </c>
      <c r="F765" s="109">
        <v>40435</v>
      </c>
      <c r="G765" s="109"/>
      <c r="H765" s="109"/>
      <c r="I765" s="109"/>
      <c r="J765" s="71"/>
      <c r="K765" s="110"/>
    </row>
    <row r="766" spans="1:11">
      <c r="A766" s="71" t="s">
        <v>577</v>
      </c>
      <c r="B766" s="107"/>
      <c r="C766" s="71" t="s">
        <v>581</v>
      </c>
      <c r="D766" s="71"/>
      <c r="E766" s="108">
        <v>78200</v>
      </c>
      <c r="F766" s="109">
        <v>40435</v>
      </c>
      <c r="G766" s="109"/>
      <c r="H766" s="109"/>
      <c r="I766" s="109"/>
      <c r="J766" s="71"/>
      <c r="K766" s="110"/>
    </row>
    <row r="767" spans="1:11">
      <c r="A767" s="71" t="s">
        <v>577</v>
      </c>
      <c r="B767" s="107"/>
      <c r="C767" s="71" t="s">
        <v>582</v>
      </c>
      <c r="D767" s="71"/>
      <c r="E767" s="108">
        <v>65006</v>
      </c>
      <c r="F767" s="109">
        <v>40435</v>
      </c>
      <c r="G767" s="109"/>
      <c r="H767" s="109"/>
      <c r="I767" s="109"/>
      <c r="J767" s="71"/>
      <c r="K767" s="110"/>
    </row>
    <row r="768" spans="1:11">
      <c r="A768" s="71" t="s">
        <v>577</v>
      </c>
      <c r="B768" s="107"/>
      <c r="C768" s="71" t="s">
        <v>583</v>
      </c>
      <c r="D768" s="71"/>
      <c r="E768" s="108">
        <v>5463</v>
      </c>
      <c r="F768" s="109">
        <v>40435</v>
      </c>
      <c r="G768" s="109"/>
      <c r="H768" s="109"/>
      <c r="I768" s="109"/>
      <c r="J768" s="71"/>
      <c r="K768" s="110"/>
    </row>
    <row r="769" spans="1:11">
      <c r="A769" s="71" t="s">
        <v>577</v>
      </c>
      <c r="B769" s="107"/>
      <c r="C769" s="71" t="s">
        <v>584</v>
      </c>
      <c r="D769" s="71"/>
      <c r="E769" s="108">
        <v>4586</v>
      </c>
      <c r="F769" s="109">
        <v>40435</v>
      </c>
      <c r="G769" s="109"/>
      <c r="H769" s="109"/>
      <c r="I769" s="109"/>
      <c r="J769" s="71"/>
      <c r="K769" s="110"/>
    </row>
    <row r="770" spans="1:11">
      <c r="A770" s="71" t="s">
        <v>577</v>
      </c>
      <c r="B770" s="107"/>
      <c r="C770" s="71" t="s">
        <v>453</v>
      </c>
      <c r="D770" s="71"/>
      <c r="E770" s="108">
        <v>5800</v>
      </c>
      <c r="F770" s="109">
        <v>40435</v>
      </c>
      <c r="G770" s="109"/>
      <c r="H770" s="109"/>
      <c r="I770" s="109"/>
      <c r="J770" s="71"/>
      <c r="K770" s="110"/>
    </row>
    <row r="771" spans="1:11">
      <c r="A771" s="71" t="s">
        <v>577</v>
      </c>
      <c r="B771" s="107"/>
      <c r="C771" s="71" t="s">
        <v>1435</v>
      </c>
      <c r="D771" s="71"/>
      <c r="E771" s="108">
        <v>2396.7600000000002</v>
      </c>
      <c r="F771" s="109">
        <v>40435</v>
      </c>
      <c r="G771" s="109"/>
      <c r="H771" s="109"/>
      <c r="I771" s="109"/>
      <c r="J771" s="71"/>
      <c r="K771" s="110"/>
    </row>
    <row r="772" spans="1:11">
      <c r="A772" s="71" t="s">
        <v>577</v>
      </c>
      <c r="B772" s="107"/>
      <c r="C772" s="71" t="s">
        <v>585</v>
      </c>
      <c r="D772" s="71"/>
      <c r="E772" s="108">
        <v>63840</v>
      </c>
      <c r="F772" s="109">
        <v>40435</v>
      </c>
      <c r="G772" s="109"/>
      <c r="H772" s="109"/>
      <c r="I772" s="109"/>
      <c r="J772" s="71"/>
      <c r="K772" s="110"/>
    </row>
    <row r="773" spans="1:11">
      <c r="A773" s="71" t="s">
        <v>577</v>
      </c>
      <c r="B773" s="107"/>
      <c r="C773" s="71" t="s">
        <v>586</v>
      </c>
      <c r="D773" s="71"/>
      <c r="E773" s="108">
        <v>85597</v>
      </c>
      <c r="F773" s="109">
        <v>40435</v>
      </c>
      <c r="G773" s="109"/>
      <c r="H773" s="109"/>
      <c r="I773" s="109"/>
      <c r="J773" s="71"/>
      <c r="K773" s="110"/>
    </row>
    <row r="774" spans="1:11">
      <c r="A774" s="71" t="s">
        <v>577</v>
      </c>
      <c r="B774" s="107"/>
      <c r="C774" s="71" t="s">
        <v>587</v>
      </c>
      <c r="D774" s="71"/>
      <c r="E774" s="108">
        <v>24853</v>
      </c>
      <c r="F774" s="109">
        <v>40435</v>
      </c>
      <c r="G774" s="109"/>
      <c r="H774" s="109"/>
      <c r="I774" s="109"/>
      <c r="J774" s="71"/>
      <c r="K774" s="110"/>
    </row>
    <row r="775" spans="1:11">
      <c r="A775" s="71" t="s">
        <v>577</v>
      </c>
      <c r="B775" s="107"/>
      <c r="C775" s="71" t="s">
        <v>461</v>
      </c>
      <c r="D775" s="71"/>
      <c r="E775" s="108">
        <v>5893</v>
      </c>
      <c r="F775" s="109">
        <v>40435</v>
      </c>
      <c r="G775" s="109"/>
      <c r="H775" s="109"/>
      <c r="I775" s="109"/>
      <c r="J775" s="71"/>
      <c r="K775" s="110"/>
    </row>
    <row r="776" spans="1:11">
      <c r="A776" s="71" t="s">
        <v>577</v>
      </c>
      <c r="B776" s="107"/>
      <c r="C776" s="71" t="s">
        <v>588</v>
      </c>
      <c r="D776" s="71"/>
      <c r="E776" s="108">
        <v>2400</v>
      </c>
      <c r="F776" s="109">
        <v>40435</v>
      </c>
      <c r="G776" s="109"/>
      <c r="H776" s="109"/>
      <c r="I776" s="109"/>
      <c r="J776" s="71"/>
      <c r="K776" s="110"/>
    </row>
    <row r="777" spans="1:11">
      <c r="A777" s="71" t="s">
        <v>577</v>
      </c>
      <c r="B777" s="107"/>
      <c r="C777" s="71" t="s">
        <v>589</v>
      </c>
      <c r="D777" s="71"/>
      <c r="E777" s="108">
        <v>14500</v>
      </c>
      <c r="F777" s="109">
        <v>40361</v>
      </c>
      <c r="G777" s="109"/>
      <c r="H777" s="109">
        <v>40435</v>
      </c>
      <c r="I777" s="109">
        <v>40438</v>
      </c>
      <c r="J777" s="71"/>
      <c r="K777" s="110"/>
    </row>
    <row r="778" spans="1:11">
      <c r="A778" s="71" t="s">
        <v>577</v>
      </c>
      <c r="B778" s="107"/>
      <c r="C778" s="71" t="s">
        <v>455</v>
      </c>
      <c r="D778" s="71"/>
      <c r="E778" s="108">
        <v>92379.15</v>
      </c>
      <c r="F778" s="109">
        <v>40361</v>
      </c>
      <c r="G778" s="109"/>
      <c r="H778" s="109">
        <v>40435</v>
      </c>
      <c r="I778" s="109">
        <v>40441</v>
      </c>
      <c r="J778" s="71"/>
      <c r="K778" s="110"/>
    </row>
    <row r="779" spans="1:11">
      <c r="A779" s="71" t="s">
        <v>590</v>
      </c>
      <c r="B779" s="107" t="s">
        <v>2520</v>
      </c>
      <c r="C779" s="71" t="s">
        <v>1521</v>
      </c>
      <c r="D779" s="71" t="s">
        <v>591</v>
      </c>
      <c r="E779" s="108">
        <v>153304</v>
      </c>
      <c r="F779" s="109">
        <v>40318</v>
      </c>
      <c r="G779" s="109"/>
      <c r="H779" s="109">
        <v>40326</v>
      </c>
      <c r="I779" s="109">
        <v>40326</v>
      </c>
      <c r="J779" s="71"/>
      <c r="K779" s="110"/>
    </row>
    <row r="780" spans="1:11">
      <c r="A780" s="71" t="s">
        <v>592</v>
      </c>
      <c r="B780" s="107" t="s">
        <v>2520</v>
      </c>
      <c r="C780" s="71" t="s">
        <v>1098</v>
      </c>
      <c r="D780" s="71" t="s">
        <v>593</v>
      </c>
      <c r="E780" s="108">
        <v>410594</v>
      </c>
      <c r="F780" s="109">
        <v>40316</v>
      </c>
      <c r="G780" s="109"/>
      <c r="H780" s="109">
        <v>40333</v>
      </c>
      <c r="I780" s="109">
        <v>40333</v>
      </c>
      <c r="J780" s="71"/>
      <c r="K780" s="110"/>
    </row>
    <row r="781" spans="1:11">
      <c r="A781" s="71" t="s">
        <v>594</v>
      </c>
      <c r="B781" s="107" t="s">
        <v>1286</v>
      </c>
      <c r="C781" s="71"/>
      <c r="D781" s="71" t="s">
        <v>595</v>
      </c>
      <c r="E781" s="108">
        <v>704000</v>
      </c>
      <c r="F781" s="109">
        <v>40343</v>
      </c>
      <c r="G781" s="109"/>
      <c r="H781" s="109" t="s">
        <v>1507</v>
      </c>
      <c r="I781" s="109"/>
      <c r="J781" s="71"/>
      <c r="K781" s="110"/>
    </row>
    <row r="782" spans="1:11">
      <c r="A782" s="71" t="s">
        <v>596</v>
      </c>
      <c r="B782" s="107" t="s">
        <v>1286</v>
      </c>
      <c r="C782" s="71"/>
      <c r="D782" s="71" t="s">
        <v>597</v>
      </c>
      <c r="E782" s="108">
        <v>703780</v>
      </c>
      <c r="F782" s="109">
        <v>40343</v>
      </c>
      <c r="G782" s="109"/>
      <c r="H782" s="109" t="s">
        <v>1507</v>
      </c>
      <c r="I782" s="109"/>
      <c r="J782" s="71"/>
      <c r="K782" s="110"/>
    </row>
    <row r="783" spans="1:11">
      <c r="A783" s="71" t="s">
        <v>598</v>
      </c>
      <c r="B783" s="107" t="s">
        <v>2509</v>
      </c>
      <c r="C783" s="71"/>
      <c r="D783" s="71" t="s">
        <v>599</v>
      </c>
      <c r="E783" s="108">
        <v>500000</v>
      </c>
      <c r="F783" s="109">
        <v>40325</v>
      </c>
      <c r="G783" s="109"/>
      <c r="H783" s="109">
        <v>40357</v>
      </c>
      <c r="I783" s="109"/>
      <c r="J783" s="71"/>
      <c r="K783" s="110"/>
    </row>
    <row r="784" spans="1:11" ht="22.5">
      <c r="A784" s="71" t="s">
        <v>600</v>
      </c>
      <c r="B784" s="107" t="s">
        <v>601</v>
      </c>
      <c r="C784" s="71" t="s">
        <v>1191</v>
      </c>
      <c r="D784" s="71" t="s">
        <v>602</v>
      </c>
      <c r="E784" s="108">
        <v>461500</v>
      </c>
      <c r="F784" s="109">
        <v>40325</v>
      </c>
      <c r="G784" s="109"/>
      <c r="H784" s="109">
        <v>40330</v>
      </c>
      <c r="I784" s="109">
        <v>40330</v>
      </c>
      <c r="J784" s="71"/>
      <c r="K784" s="110"/>
    </row>
    <row r="785" spans="1:11">
      <c r="A785" s="71" t="s">
        <v>603</v>
      </c>
      <c r="B785" s="107" t="s">
        <v>2536</v>
      </c>
      <c r="C785" s="71"/>
      <c r="D785" s="71" t="s">
        <v>604</v>
      </c>
      <c r="E785" s="108">
        <v>104000</v>
      </c>
      <c r="F785" s="109">
        <v>40322</v>
      </c>
      <c r="G785" s="109"/>
      <c r="H785" s="109">
        <v>40339</v>
      </c>
      <c r="I785" s="109"/>
      <c r="J785" s="71"/>
      <c r="K785" s="110" t="s">
        <v>155</v>
      </c>
    </row>
    <row r="786" spans="1:11">
      <c r="A786" s="71" t="s">
        <v>605</v>
      </c>
      <c r="B786" s="107" t="s">
        <v>606</v>
      </c>
      <c r="C786" s="71" t="s">
        <v>607</v>
      </c>
      <c r="D786" s="71" t="s">
        <v>608</v>
      </c>
      <c r="E786" s="108">
        <v>11730</v>
      </c>
      <c r="F786" s="109">
        <v>40261</v>
      </c>
      <c r="G786" s="109"/>
      <c r="H786" s="109">
        <v>40263</v>
      </c>
      <c r="I786" s="109">
        <v>40340</v>
      </c>
      <c r="J786" s="71"/>
      <c r="K786" s="110"/>
    </row>
    <row r="787" spans="1:11">
      <c r="A787" s="71" t="s">
        <v>609</v>
      </c>
      <c r="B787" s="107" t="s">
        <v>2520</v>
      </c>
      <c r="C787" s="71" t="s">
        <v>1435</v>
      </c>
      <c r="D787" s="71" t="s">
        <v>610</v>
      </c>
      <c r="E787" s="108">
        <v>629007</v>
      </c>
      <c r="F787" s="109">
        <v>40325</v>
      </c>
      <c r="G787" s="109"/>
      <c r="H787" s="109">
        <v>40336</v>
      </c>
      <c r="I787" s="109">
        <v>40337</v>
      </c>
      <c r="J787" s="71"/>
      <c r="K787" s="110"/>
    </row>
    <row r="788" spans="1:11">
      <c r="A788" s="71" t="s">
        <v>611</v>
      </c>
      <c r="B788" s="107" t="s">
        <v>63</v>
      </c>
      <c r="C788" s="71" t="s">
        <v>1435</v>
      </c>
      <c r="D788" s="71" t="s">
        <v>612</v>
      </c>
      <c r="E788" s="108">
        <v>729007</v>
      </c>
      <c r="F788" s="109">
        <v>40324</v>
      </c>
      <c r="G788" s="109"/>
      <c r="H788" s="109">
        <v>40346</v>
      </c>
      <c r="I788" s="109">
        <v>40351</v>
      </c>
      <c r="J788" s="71"/>
      <c r="K788" s="110"/>
    </row>
    <row r="789" spans="1:11">
      <c r="A789" s="71" t="s">
        <v>613</v>
      </c>
      <c r="B789" s="107" t="s">
        <v>2538</v>
      </c>
      <c r="C789" s="71" t="s">
        <v>1370</v>
      </c>
      <c r="D789" s="71" t="s">
        <v>614</v>
      </c>
      <c r="E789" s="108">
        <v>4122444</v>
      </c>
      <c r="F789" s="109">
        <v>40372</v>
      </c>
      <c r="G789" s="109"/>
      <c r="H789" s="109">
        <v>40374</v>
      </c>
      <c r="I789" s="109">
        <v>40386</v>
      </c>
      <c r="J789" s="71"/>
      <c r="K789" s="110"/>
    </row>
    <row r="790" spans="1:11">
      <c r="A790" s="71" t="s">
        <v>615</v>
      </c>
      <c r="B790" s="107" t="s">
        <v>1336</v>
      </c>
      <c r="C790" s="71" t="s">
        <v>1229</v>
      </c>
      <c r="D790" s="71" t="s">
        <v>616</v>
      </c>
      <c r="E790" s="108">
        <v>154900</v>
      </c>
      <c r="F790" s="109">
        <v>40344</v>
      </c>
      <c r="G790" s="109"/>
      <c r="H790" s="109">
        <v>40348</v>
      </c>
      <c r="I790" s="109">
        <v>40354</v>
      </c>
      <c r="J790" s="71"/>
      <c r="K790" s="110" t="s">
        <v>2877</v>
      </c>
    </row>
    <row r="791" spans="1:11">
      <c r="A791" s="71"/>
      <c r="B791" s="107"/>
      <c r="C791" s="71"/>
      <c r="D791" s="71"/>
      <c r="E791" s="108"/>
      <c r="F791" s="109"/>
      <c r="G791" s="109"/>
      <c r="H791" s="109"/>
      <c r="I791" s="109"/>
      <c r="J791" s="71"/>
      <c r="K791" s="110"/>
    </row>
    <row r="792" spans="1:11">
      <c r="A792" s="71" t="s">
        <v>615</v>
      </c>
      <c r="B792" s="107"/>
      <c r="C792" s="71" t="s">
        <v>617</v>
      </c>
      <c r="D792" s="71"/>
      <c r="E792" s="108">
        <v>253155</v>
      </c>
      <c r="F792" s="109">
        <v>40344</v>
      </c>
      <c r="G792" s="109"/>
      <c r="H792" s="109">
        <v>40348</v>
      </c>
      <c r="I792" s="109">
        <v>40354</v>
      </c>
      <c r="J792" s="71"/>
      <c r="K792" s="110"/>
    </row>
    <row r="793" spans="1:11">
      <c r="A793" s="71" t="s">
        <v>618</v>
      </c>
      <c r="B793" s="107" t="s">
        <v>1336</v>
      </c>
      <c r="C793" s="71" t="s">
        <v>619</v>
      </c>
      <c r="D793" s="71" t="s">
        <v>620</v>
      </c>
      <c r="E793" s="108">
        <v>118200</v>
      </c>
      <c r="F793" s="109">
        <v>40337</v>
      </c>
      <c r="G793" s="109"/>
      <c r="H793" s="109">
        <v>40310</v>
      </c>
      <c r="I793" s="109"/>
      <c r="J793" s="71"/>
      <c r="K793" s="110"/>
    </row>
    <row r="794" spans="1:11">
      <c r="A794" s="71" t="s">
        <v>618</v>
      </c>
      <c r="B794" s="107"/>
      <c r="C794" s="71" t="s">
        <v>621</v>
      </c>
      <c r="D794" s="71"/>
      <c r="E794" s="108">
        <v>16732</v>
      </c>
      <c r="F794" s="109">
        <v>40338</v>
      </c>
      <c r="G794" s="109"/>
      <c r="H794" s="109">
        <v>40354</v>
      </c>
      <c r="I794" s="109">
        <v>40354</v>
      </c>
      <c r="J794" s="71"/>
      <c r="K794" s="110"/>
    </row>
    <row r="795" spans="1:11">
      <c r="A795" s="71" t="s">
        <v>618</v>
      </c>
      <c r="B795" s="107"/>
      <c r="C795" s="71" t="s">
        <v>622</v>
      </c>
      <c r="D795" s="71"/>
      <c r="E795" s="108">
        <v>4720</v>
      </c>
      <c r="F795" s="109"/>
      <c r="G795" s="109"/>
      <c r="H795" s="109"/>
      <c r="I795" s="109"/>
      <c r="J795" s="71"/>
      <c r="K795" s="110"/>
    </row>
    <row r="796" spans="1:11">
      <c r="A796" s="71" t="s">
        <v>618</v>
      </c>
      <c r="B796" s="107"/>
      <c r="C796" s="71" t="s">
        <v>617</v>
      </c>
      <c r="D796" s="71"/>
      <c r="E796" s="108"/>
      <c r="F796" s="109"/>
      <c r="G796" s="109"/>
      <c r="H796" s="109"/>
      <c r="I796" s="109"/>
      <c r="J796" s="71"/>
      <c r="K796" s="110"/>
    </row>
    <row r="797" spans="1:11">
      <c r="A797" s="71" t="s">
        <v>618</v>
      </c>
      <c r="B797" s="107"/>
      <c r="C797" s="71" t="s">
        <v>314</v>
      </c>
      <c r="D797" s="71"/>
      <c r="E797" s="108"/>
      <c r="F797" s="109"/>
      <c r="G797" s="109"/>
      <c r="H797" s="109"/>
      <c r="I797" s="109"/>
      <c r="J797" s="71"/>
      <c r="K797" s="110"/>
    </row>
    <row r="798" spans="1:11">
      <c r="A798" s="71" t="s">
        <v>618</v>
      </c>
      <c r="B798" s="107"/>
      <c r="C798" s="71" t="s">
        <v>623</v>
      </c>
      <c r="D798" s="71"/>
      <c r="E798" s="108"/>
      <c r="F798" s="109"/>
      <c r="G798" s="109"/>
      <c r="H798" s="109"/>
      <c r="I798" s="109"/>
      <c r="J798" s="71"/>
      <c r="K798" s="110"/>
    </row>
    <row r="799" spans="1:11">
      <c r="A799" s="71" t="s">
        <v>618</v>
      </c>
      <c r="B799" s="107"/>
      <c r="C799" s="71" t="s">
        <v>624</v>
      </c>
      <c r="D799" s="71"/>
      <c r="E799" s="108">
        <v>24874</v>
      </c>
      <c r="F799" s="109"/>
      <c r="G799" s="109"/>
      <c r="H799" s="109"/>
      <c r="I799" s="109"/>
      <c r="J799" s="71"/>
      <c r="K799" s="110"/>
    </row>
    <row r="800" spans="1:11">
      <c r="A800" s="71" t="s">
        <v>625</v>
      </c>
      <c r="B800" s="107" t="s">
        <v>1247</v>
      </c>
      <c r="C800" s="71" t="s">
        <v>626</v>
      </c>
      <c r="D800" s="71" t="s">
        <v>627</v>
      </c>
      <c r="E800" s="108">
        <v>201464</v>
      </c>
      <c r="F800" s="109">
        <v>40345</v>
      </c>
      <c r="G800" s="109"/>
      <c r="H800" s="109">
        <v>40350</v>
      </c>
      <c r="I800" s="109">
        <v>40357</v>
      </c>
      <c r="J800" s="71"/>
      <c r="K800" s="110" t="s">
        <v>2877</v>
      </c>
    </row>
    <row r="801" spans="1:11">
      <c r="A801" s="71" t="s">
        <v>628</v>
      </c>
      <c r="B801" s="107" t="s">
        <v>629</v>
      </c>
      <c r="C801" s="71" t="s">
        <v>1482</v>
      </c>
      <c r="D801" s="71" t="s">
        <v>630</v>
      </c>
      <c r="E801" s="108">
        <v>274171</v>
      </c>
      <c r="F801" s="109">
        <v>40350</v>
      </c>
      <c r="G801" s="109"/>
      <c r="H801" s="109">
        <v>40388</v>
      </c>
      <c r="I801" s="109">
        <v>40389</v>
      </c>
      <c r="J801" s="71"/>
      <c r="K801" s="110" t="s">
        <v>2877</v>
      </c>
    </row>
    <row r="802" spans="1:11">
      <c r="A802" s="71" t="s">
        <v>631</v>
      </c>
      <c r="B802" s="107" t="s">
        <v>606</v>
      </c>
      <c r="C802" s="71"/>
      <c r="D802" s="71" t="s">
        <v>632</v>
      </c>
      <c r="E802" s="108">
        <v>39614</v>
      </c>
      <c r="F802" s="109">
        <v>40351</v>
      </c>
      <c r="G802" s="109"/>
      <c r="H802" s="109">
        <v>40378</v>
      </c>
      <c r="I802" s="109">
        <v>40389</v>
      </c>
      <c r="J802" s="71"/>
      <c r="K802" s="110" t="s">
        <v>2877</v>
      </c>
    </row>
    <row r="803" spans="1:11">
      <c r="A803" s="71" t="s">
        <v>633</v>
      </c>
      <c r="B803" s="107" t="s">
        <v>606</v>
      </c>
      <c r="C803" s="71" t="s">
        <v>1212</v>
      </c>
      <c r="D803" s="71" t="s">
        <v>634</v>
      </c>
      <c r="E803" s="108">
        <v>3000000</v>
      </c>
      <c r="F803" s="109" t="s">
        <v>635</v>
      </c>
      <c r="G803" s="109"/>
      <c r="H803" s="109" t="s">
        <v>635</v>
      </c>
      <c r="I803" s="109"/>
      <c r="J803" s="71"/>
      <c r="K803" s="110"/>
    </row>
    <row r="804" spans="1:11">
      <c r="A804" s="71" t="s">
        <v>633</v>
      </c>
      <c r="B804" s="107"/>
      <c r="C804" s="71" t="s">
        <v>636</v>
      </c>
      <c r="D804" s="71"/>
      <c r="E804" s="108">
        <v>465250</v>
      </c>
      <c r="F804" s="109">
        <v>40302</v>
      </c>
      <c r="G804" s="109"/>
      <c r="H804" s="109">
        <v>40303</v>
      </c>
      <c r="I804" s="109">
        <v>40340</v>
      </c>
      <c r="J804" s="71"/>
      <c r="K804" s="110"/>
    </row>
    <row r="805" spans="1:11">
      <c r="A805" s="71" t="s">
        <v>633</v>
      </c>
      <c r="B805" s="107"/>
      <c r="C805" s="71" t="s">
        <v>626</v>
      </c>
      <c r="D805" s="71"/>
      <c r="E805" s="108">
        <v>266100</v>
      </c>
      <c r="F805" s="109">
        <v>40302</v>
      </c>
      <c r="G805" s="109"/>
      <c r="H805" s="109">
        <v>40303</v>
      </c>
      <c r="I805" s="109">
        <v>40340</v>
      </c>
      <c r="J805" s="71"/>
      <c r="K805" s="110"/>
    </row>
    <row r="806" spans="1:11">
      <c r="A806" s="71" t="s">
        <v>633</v>
      </c>
      <c r="B806" s="107"/>
      <c r="C806" s="71" t="s">
        <v>1077</v>
      </c>
      <c r="D806" s="71"/>
      <c r="E806" s="108">
        <v>1093923</v>
      </c>
      <c r="F806" s="109">
        <v>40302</v>
      </c>
      <c r="G806" s="109"/>
      <c r="H806" s="109">
        <v>40303</v>
      </c>
      <c r="I806" s="109">
        <v>40340</v>
      </c>
      <c r="J806" s="71"/>
      <c r="K806" s="110"/>
    </row>
    <row r="807" spans="1:11">
      <c r="A807" s="71" t="s">
        <v>633</v>
      </c>
      <c r="B807" s="107"/>
      <c r="C807" s="71" t="s">
        <v>1482</v>
      </c>
      <c r="D807" s="71"/>
      <c r="E807" s="108">
        <v>1309394</v>
      </c>
      <c r="F807" s="109" t="s">
        <v>637</v>
      </c>
      <c r="G807" s="109"/>
      <c r="H807" s="109">
        <v>40340</v>
      </c>
      <c r="I807" s="109">
        <v>40340</v>
      </c>
      <c r="J807" s="71"/>
      <c r="K807" s="110"/>
    </row>
    <row r="808" spans="1:11">
      <c r="A808" s="71" t="s">
        <v>633</v>
      </c>
      <c r="B808" s="107"/>
      <c r="C808" s="71" t="s">
        <v>638</v>
      </c>
      <c r="D808" s="71"/>
      <c r="E808" s="108">
        <v>39615</v>
      </c>
      <c r="F808" s="109">
        <v>40351</v>
      </c>
      <c r="G808" s="109"/>
      <c r="H808" s="109">
        <v>40378</v>
      </c>
      <c r="I808" s="109">
        <v>40389</v>
      </c>
      <c r="J808" s="71"/>
      <c r="K808" s="110"/>
    </row>
    <row r="809" spans="1:11">
      <c r="A809" s="71" t="s">
        <v>639</v>
      </c>
      <c r="B809" s="107" t="s">
        <v>2507</v>
      </c>
      <c r="C809" s="71"/>
      <c r="D809" s="71" t="s">
        <v>640</v>
      </c>
      <c r="E809" s="108">
        <v>200000</v>
      </c>
      <c r="F809" s="109">
        <v>40353</v>
      </c>
      <c r="G809" s="109"/>
      <c r="H809" s="109">
        <v>40373</v>
      </c>
      <c r="I809" s="109"/>
      <c r="J809" s="71"/>
      <c r="K809" s="110"/>
    </row>
    <row r="810" spans="1:11">
      <c r="A810" s="71" t="s">
        <v>641</v>
      </c>
      <c r="B810" s="107" t="s">
        <v>642</v>
      </c>
      <c r="C810" s="71" t="s">
        <v>643</v>
      </c>
      <c r="D810" s="71" t="s">
        <v>644</v>
      </c>
      <c r="E810" s="108">
        <v>279931.88</v>
      </c>
      <c r="F810" s="109">
        <v>40344</v>
      </c>
      <c r="G810" s="109"/>
      <c r="H810" s="109">
        <v>40360</v>
      </c>
      <c r="I810" s="109">
        <v>40365</v>
      </c>
      <c r="J810" s="71"/>
      <c r="K810" s="110"/>
    </row>
    <row r="811" spans="1:11">
      <c r="A811" s="71" t="s">
        <v>645</v>
      </c>
      <c r="B811" s="107" t="s">
        <v>2543</v>
      </c>
      <c r="C811" s="71" t="s">
        <v>1365</v>
      </c>
      <c r="D811" s="71" t="s">
        <v>646</v>
      </c>
      <c r="E811" s="108">
        <v>676676</v>
      </c>
      <c r="F811" s="109">
        <v>40324</v>
      </c>
      <c r="G811" s="109"/>
      <c r="H811" s="109">
        <v>40355</v>
      </c>
      <c r="I811" s="109">
        <v>40359</v>
      </c>
      <c r="J811" s="71"/>
      <c r="K811" s="110"/>
    </row>
    <row r="812" spans="1:11">
      <c r="A812" s="71" t="s">
        <v>647</v>
      </c>
      <c r="B812" s="107" t="s">
        <v>2538</v>
      </c>
      <c r="C812" s="71" t="s">
        <v>1435</v>
      </c>
      <c r="D812" s="71" t="s">
        <v>648</v>
      </c>
      <c r="E812" s="108">
        <v>1066438.47</v>
      </c>
      <c r="F812" s="109">
        <v>40410</v>
      </c>
      <c r="G812" s="109"/>
      <c r="H812" s="109">
        <v>40420</v>
      </c>
      <c r="I812" s="109">
        <v>40424</v>
      </c>
      <c r="J812" s="71"/>
      <c r="K812" s="110"/>
    </row>
    <row r="813" spans="1:11">
      <c r="A813" s="71" t="s">
        <v>649</v>
      </c>
      <c r="B813" s="107" t="s">
        <v>175</v>
      </c>
      <c r="C813" s="71" t="s">
        <v>2518</v>
      </c>
      <c r="D813" s="71" t="s">
        <v>650</v>
      </c>
      <c r="E813" s="108"/>
      <c r="F813" s="109">
        <v>40330</v>
      </c>
      <c r="G813" s="109"/>
      <c r="H813" s="109">
        <v>40360</v>
      </c>
      <c r="I813" s="109"/>
      <c r="J813" s="71"/>
      <c r="K813" s="110"/>
    </row>
    <row r="814" spans="1:11">
      <c r="A814" s="71" t="s">
        <v>651</v>
      </c>
      <c r="B814" s="107" t="s">
        <v>2538</v>
      </c>
      <c r="C814" s="71"/>
      <c r="D814" s="71" t="s">
        <v>652</v>
      </c>
      <c r="E814" s="108">
        <v>1744897</v>
      </c>
      <c r="F814" s="109">
        <v>40372</v>
      </c>
      <c r="G814" s="109"/>
      <c r="H814" s="109">
        <v>40373</v>
      </c>
      <c r="I814" s="109"/>
      <c r="J814" s="71"/>
      <c r="K814" s="110"/>
    </row>
    <row r="815" spans="1:11">
      <c r="A815" s="71" t="s">
        <v>653</v>
      </c>
      <c r="B815" s="107" t="s">
        <v>104</v>
      </c>
      <c r="C815" s="71" t="s">
        <v>654</v>
      </c>
      <c r="D815" s="71" t="s">
        <v>655</v>
      </c>
      <c r="E815" s="108"/>
      <c r="F815" s="109">
        <v>40344</v>
      </c>
      <c r="G815" s="109"/>
      <c r="H815" s="109">
        <v>40351</v>
      </c>
      <c r="I815" s="109"/>
      <c r="J815" s="71"/>
      <c r="K815" s="110"/>
    </row>
    <row r="816" spans="1:11">
      <c r="A816" s="71" t="s">
        <v>656</v>
      </c>
      <c r="B816" s="107" t="s">
        <v>1426</v>
      </c>
      <c r="C816" s="71"/>
      <c r="D816" s="71" t="s">
        <v>657</v>
      </c>
      <c r="E816" s="108">
        <v>800000</v>
      </c>
      <c r="F816" s="109">
        <v>40422</v>
      </c>
      <c r="G816" s="109"/>
      <c r="H816" s="109">
        <v>40451</v>
      </c>
      <c r="I816" s="109"/>
      <c r="J816" s="71"/>
      <c r="K816" s="110"/>
    </row>
    <row r="817" spans="1:11">
      <c r="A817" s="71" t="s">
        <v>658</v>
      </c>
      <c r="B817" s="107" t="s">
        <v>63</v>
      </c>
      <c r="C817" s="71"/>
      <c r="D817" s="71" t="s">
        <v>659</v>
      </c>
      <c r="E817" s="108">
        <v>100000</v>
      </c>
      <c r="F817" s="109">
        <v>40353</v>
      </c>
      <c r="G817" s="109"/>
      <c r="H817" s="109">
        <v>40378</v>
      </c>
      <c r="I817" s="109"/>
      <c r="J817" s="71"/>
      <c r="K817" s="110"/>
    </row>
    <row r="818" spans="1:11">
      <c r="A818" s="71" t="s">
        <v>660</v>
      </c>
      <c r="B818" s="107" t="s">
        <v>1306</v>
      </c>
      <c r="C818" s="71" t="s">
        <v>661</v>
      </c>
      <c r="D818" s="71" t="s">
        <v>662</v>
      </c>
      <c r="E818" s="108">
        <v>9407000</v>
      </c>
      <c r="F818" s="109">
        <v>40346</v>
      </c>
      <c r="G818" s="109"/>
      <c r="H818" s="109">
        <v>40365</v>
      </c>
      <c r="I818" s="109">
        <v>40372</v>
      </c>
      <c r="J818" s="71"/>
      <c r="K818" s="110"/>
    </row>
    <row r="819" spans="1:11">
      <c r="A819" s="71" t="s">
        <v>663</v>
      </c>
      <c r="B819" s="107" t="s">
        <v>2524</v>
      </c>
      <c r="C819" s="71" t="s">
        <v>664</v>
      </c>
      <c r="D819" s="71" t="s">
        <v>665</v>
      </c>
      <c r="E819" s="108">
        <v>163100</v>
      </c>
      <c r="F819" s="109">
        <v>40325</v>
      </c>
      <c r="G819" s="109"/>
      <c r="H819" s="109">
        <v>40346</v>
      </c>
      <c r="I819" s="109">
        <v>40351</v>
      </c>
      <c r="J819" s="71"/>
      <c r="K819" s="110"/>
    </row>
    <row r="820" spans="1:11">
      <c r="A820" s="71" t="s">
        <v>666</v>
      </c>
      <c r="B820" s="107" t="s">
        <v>535</v>
      </c>
      <c r="C820" s="71" t="s">
        <v>667</v>
      </c>
      <c r="D820" s="71" t="s">
        <v>668</v>
      </c>
      <c r="E820" s="108">
        <v>267000</v>
      </c>
      <c r="F820" s="109">
        <v>40325</v>
      </c>
      <c r="G820" s="109"/>
      <c r="H820" s="109">
        <v>40332</v>
      </c>
      <c r="I820" s="109">
        <v>40385</v>
      </c>
      <c r="J820" s="71"/>
      <c r="K820" s="110"/>
    </row>
    <row r="821" spans="1:11">
      <c r="A821" s="71" t="s">
        <v>669</v>
      </c>
      <c r="B821" s="107" t="s">
        <v>2509</v>
      </c>
      <c r="C821" s="71" t="s">
        <v>664</v>
      </c>
      <c r="D821" s="71" t="s">
        <v>670</v>
      </c>
      <c r="E821" s="108">
        <v>770000</v>
      </c>
      <c r="F821" s="109">
        <v>40379</v>
      </c>
      <c r="G821" s="109"/>
      <c r="H821" s="109">
        <v>40386</v>
      </c>
      <c r="I821" s="109">
        <v>40387</v>
      </c>
      <c r="J821" s="71"/>
      <c r="K821" s="110"/>
    </row>
    <row r="822" spans="1:11">
      <c r="A822" s="71" t="s">
        <v>671</v>
      </c>
      <c r="B822" s="107" t="s">
        <v>1096</v>
      </c>
      <c r="C822" s="71" t="s">
        <v>672</v>
      </c>
      <c r="D822" s="71" t="s">
        <v>673</v>
      </c>
      <c r="E822" s="108">
        <v>163532</v>
      </c>
      <c r="F822" s="109">
        <v>40368</v>
      </c>
      <c r="G822" s="109"/>
      <c r="H822" s="109">
        <v>40373</v>
      </c>
      <c r="I822" s="109">
        <v>40379</v>
      </c>
      <c r="J822" s="71"/>
      <c r="K822" s="110"/>
    </row>
    <row r="823" spans="1:11">
      <c r="A823" s="71" t="s">
        <v>674</v>
      </c>
      <c r="B823" s="107" t="s">
        <v>2541</v>
      </c>
      <c r="C823" s="71" t="s">
        <v>1058</v>
      </c>
      <c r="D823" s="71" t="s">
        <v>675</v>
      </c>
      <c r="E823" s="108">
        <v>173000</v>
      </c>
      <c r="F823" s="109">
        <v>40323</v>
      </c>
      <c r="G823" s="109"/>
      <c r="H823" s="109">
        <v>40338</v>
      </c>
      <c r="I823" s="109">
        <v>40359</v>
      </c>
      <c r="J823" s="71"/>
      <c r="K823" s="110"/>
    </row>
    <row r="824" spans="1:11">
      <c r="A824" s="71" t="s">
        <v>676</v>
      </c>
      <c r="B824" s="107" t="s">
        <v>2520</v>
      </c>
      <c r="C824" s="71" t="s">
        <v>299</v>
      </c>
      <c r="D824" s="71" t="s">
        <v>677</v>
      </c>
      <c r="E824" s="108">
        <v>582454</v>
      </c>
      <c r="F824" s="109">
        <v>40345</v>
      </c>
      <c r="G824" s="109"/>
      <c r="H824" s="109">
        <v>40353</v>
      </c>
      <c r="I824" s="109">
        <v>40353</v>
      </c>
      <c r="J824" s="71"/>
      <c r="K824" s="110"/>
    </row>
    <row r="825" spans="1:11">
      <c r="A825" s="71" t="s">
        <v>678</v>
      </c>
      <c r="B825" s="107" t="s">
        <v>1214</v>
      </c>
      <c r="C825" s="71" t="s">
        <v>118</v>
      </c>
      <c r="D825" s="71" t="s">
        <v>679</v>
      </c>
      <c r="E825" s="108">
        <v>379699.49</v>
      </c>
      <c r="F825" s="109">
        <v>40332</v>
      </c>
      <c r="G825" s="109"/>
      <c r="H825" s="109">
        <v>40337</v>
      </c>
      <c r="I825" s="109">
        <v>40345</v>
      </c>
      <c r="J825" s="71"/>
      <c r="K825" s="110"/>
    </row>
    <row r="826" spans="1:11">
      <c r="A826" s="71" t="s">
        <v>680</v>
      </c>
      <c r="B826" s="107" t="s">
        <v>2538</v>
      </c>
      <c r="C826" s="71" t="s">
        <v>1435</v>
      </c>
      <c r="D826" s="71" t="s">
        <v>681</v>
      </c>
      <c r="E826" s="108">
        <v>298007</v>
      </c>
      <c r="F826" s="109">
        <v>40393</v>
      </c>
      <c r="G826" s="109"/>
      <c r="H826" s="109">
        <v>40395</v>
      </c>
      <c r="I826" s="109">
        <v>40407</v>
      </c>
      <c r="J826" s="71"/>
      <c r="K826" s="110"/>
    </row>
    <row r="827" spans="1:11">
      <c r="A827" s="71" t="s">
        <v>682</v>
      </c>
      <c r="B827" s="107" t="s">
        <v>2507</v>
      </c>
      <c r="C827" s="71"/>
      <c r="D827" s="71" t="s">
        <v>683</v>
      </c>
      <c r="E827" s="108">
        <v>200000</v>
      </c>
      <c r="F827" s="109" t="s">
        <v>1334</v>
      </c>
      <c r="G827" s="109"/>
      <c r="H827" s="109">
        <v>40391</v>
      </c>
      <c r="I827" s="109"/>
      <c r="J827" s="71"/>
      <c r="K827" s="110"/>
    </row>
    <row r="828" spans="1:11">
      <c r="A828" s="71" t="s">
        <v>684</v>
      </c>
      <c r="B828" s="107" t="s">
        <v>2538</v>
      </c>
      <c r="C828" s="71" t="s">
        <v>1365</v>
      </c>
      <c r="D828" s="71" t="s">
        <v>685</v>
      </c>
      <c r="E828" s="108">
        <v>4344343</v>
      </c>
      <c r="F828" s="109">
        <v>40358</v>
      </c>
      <c r="G828" s="109"/>
      <c r="H828" s="109">
        <v>40360</v>
      </c>
      <c r="I828" s="109">
        <v>40361</v>
      </c>
      <c r="J828" s="71"/>
      <c r="K828" s="110"/>
    </row>
    <row r="829" spans="1:11">
      <c r="A829" s="71" t="s">
        <v>686</v>
      </c>
      <c r="B829" s="107" t="s">
        <v>1063</v>
      </c>
      <c r="C829" s="71"/>
      <c r="D829" s="71" t="s">
        <v>687</v>
      </c>
      <c r="E829" s="108">
        <v>150000</v>
      </c>
      <c r="F829" s="109">
        <v>40360</v>
      </c>
      <c r="G829" s="109"/>
      <c r="H829" s="109">
        <v>40374</v>
      </c>
      <c r="I829" s="109"/>
      <c r="J829" s="71"/>
      <c r="K829" s="110"/>
    </row>
    <row r="830" spans="1:11">
      <c r="A830" s="71" t="s">
        <v>688</v>
      </c>
      <c r="B830" s="107" t="s">
        <v>2509</v>
      </c>
      <c r="C830" s="71" t="s">
        <v>9</v>
      </c>
      <c r="D830" s="71" t="s">
        <v>689</v>
      </c>
      <c r="E830" s="108">
        <v>255022</v>
      </c>
      <c r="F830" s="109">
        <v>40346</v>
      </c>
      <c r="G830" s="109"/>
      <c r="H830" s="109">
        <v>40353</v>
      </c>
      <c r="I830" s="109">
        <v>40353</v>
      </c>
      <c r="J830" s="71"/>
      <c r="K830" s="110"/>
    </row>
    <row r="831" spans="1:11">
      <c r="A831" s="71" t="s">
        <v>690</v>
      </c>
      <c r="B831" s="107" t="s">
        <v>2520</v>
      </c>
      <c r="C831" s="71" t="s">
        <v>1435</v>
      </c>
      <c r="D831" s="71" t="s">
        <v>691</v>
      </c>
      <c r="E831" s="108">
        <v>158600</v>
      </c>
      <c r="F831" s="109">
        <v>40339</v>
      </c>
      <c r="G831" s="109"/>
      <c r="H831" s="109">
        <v>40347</v>
      </c>
      <c r="I831" s="109">
        <v>40347</v>
      </c>
      <c r="J831" s="71"/>
      <c r="K831" s="110"/>
    </row>
    <row r="832" spans="1:11">
      <c r="A832" s="71" t="s">
        <v>692</v>
      </c>
      <c r="B832" s="107" t="s">
        <v>2543</v>
      </c>
      <c r="C832" s="71" t="s">
        <v>1370</v>
      </c>
      <c r="D832" s="71" t="s">
        <v>693</v>
      </c>
      <c r="E832" s="108">
        <v>604444</v>
      </c>
      <c r="F832" s="109">
        <v>40339</v>
      </c>
      <c r="G832" s="109"/>
      <c r="H832" s="109">
        <v>40371</v>
      </c>
      <c r="I832" s="109">
        <v>40375</v>
      </c>
      <c r="J832" s="71"/>
      <c r="K832" s="110"/>
    </row>
    <row r="833" spans="1:11">
      <c r="A833" s="71" t="s">
        <v>694</v>
      </c>
      <c r="B833" s="107" t="s">
        <v>2538</v>
      </c>
      <c r="C833" s="71" t="s">
        <v>1435</v>
      </c>
      <c r="D833" s="71" t="s">
        <v>695</v>
      </c>
      <c r="E833" s="108">
        <v>1073007</v>
      </c>
      <c r="F833" s="109">
        <v>40421</v>
      </c>
      <c r="G833" s="109"/>
      <c r="H833" s="109">
        <v>40430</v>
      </c>
      <c r="I833" s="109"/>
      <c r="J833" s="71"/>
      <c r="K833" s="110"/>
    </row>
    <row r="834" spans="1:11" ht="22.5">
      <c r="A834" s="71" t="s">
        <v>696</v>
      </c>
      <c r="B834" s="107" t="s">
        <v>2520</v>
      </c>
      <c r="C834" s="71" t="s">
        <v>288</v>
      </c>
      <c r="D834" s="71" t="s">
        <v>697</v>
      </c>
      <c r="E834" s="108">
        <v>173943</v>
      </c>
      <c r="F834" s="109">
        <v>40338</v>
      </c>
      <c r="G834" s="109">
        <v>40428</v>
      </c>
      <c r="H834" s="109">
        <v>40351</v>
      </c>
      <c r="I834" s="109">
        <v>40353</v>
      </c>
      <c r="J834" s="71"/>
      <c r="K834" s="110" t="s">
        <v>2877</v>
      </c>
    </row>
    <row r="835" spans="1:11">
      <c r="A835" s="71" t="s">
        <v>698</v>
      </c>
      <c r="B835" s="107" t="s">
        <v>2507</v>
      </c>
      <c r="C835" s="71"/>
      <c r="D835" s="71" t="s">
        <v>699</v>
      </c>
      <c r="E835" s="108">
        <v>100000</v>
      </c>
      <c r="F835" s="109">
        <v>40330</v>
      </c>
      <c r="G835" s="109"/>
      <c r="H835" s="109">
        <v>40360</v>
      </c>
      <c r="I835" s="109"/>
      <c r="J835" s="71"/>
      <c r="K835" s="110"/>
    </row>
    <row r="836" spans="1:11" ht="22.5">
      <c r="A836" s="71" t="s">
        <v>700</v>
      </c>
      <c r="B836" s="107" t="s">
        <v>2509</v>
      </c>
      <c r="C836" s="71" t="s">
        <v>701</v>
      </c>
      <c r="D836" s="71" t="s">
        <v>702</v>
      </c>
      <c r="E836" s="108">
        <v>87256.5</v>
      </c>
      <c r="F836" s="109">
        <v>40339</v>
      </c>
      <c r="G836" s="109"/>
      <c r="H836" s="109">
        <v>40352</v>
      </c>
      <c r="I836" s="109">
        <v>40352</v>
      </c>
      <c r="J836" s="71" t="s">
        <v>2518</v>
      </c>
      <c r="K836" s="110"/>
    </row>
    <row r="837" spans="1:11">
      <c r="A837" s="71" t="s">
        <v>703</v>
      </c>
      <c r="B837" s="107" t="s">
        <v>2536</v>
      </c>
      <c r="C837" s="71" t="s">
        <v>704</v>
      </c>
      <c r="D837" s="71" t="s">
        <v>705</v>
      </c>
      <c r="E837" s="108">
        <v>400000</v>
      </c>
      <c r="F837" s="109" t="s">
        <v>706</v>
      </c>
      <c r="G837" s="109"/>
      <c r="H837" s="109">
        <v>40312</v>
      </c>
      <c r="I837" s="109">
        <v>40322</v>
      </c>
      <c r="J837" s="71"/>
      <c r="K837" s="110"/>
    </row>
    <row r="838" spans="1:11">
      <c r="A838" s="71" t="s">
        <v>707</v>
      </c>
      <c r="B838" s="107" t="s">
        <v>1068</v>
      </c>
      <c r="C838" s="71" t="s">
        <v>2532</v>
      </c>
      <c r="D838" s="71" t="s">
        <v>708</v>
      </c>
      <c r="E838" s="108">
        <v>995209.8</v>
      </c>
      <c r="F838" s="109">
        <v>40354</v>
      </c>
      <c r="G838" s="109"/>
      <c r="H838" s="109">
        <v>40372</v>
      </c>
      <c r="I838" s="109">
        <v>40373</v>
      </c>
      <c r="J838" s="71"/>
      <c r="K838" s="110"/>
    </row>
    <row r="839" spans="1:11">
      <c r="A839" s="71" t="s">
        <v>709</v>
      </c>
      <c r="B839" s="107" t="s">
        <v>2538</v>
      </c>
      <c r="C839" s="71" t="s">
        <v>1435</v>
      </c>
      <c r="D839" s="71" t="s">
        <v>710</v>
      </c>
      <c r="E839" s="108">
        <v>595007</v>
      </c>
      <c r="F839" s="109">
        <v>40367</v>
      </c>
      <c r="G839" s="109"/>
      <c r="H839" s="109">
        <v>40368</v>
      </c>
      <c r="I839" s="109">
        <v>40372</v>
      </c>
      <c r="J839" s="71"/>
      <c r="K839" s="110"/>
    </row>
    <row r="840" spans="1:11">
      <c r="A840" s="71" t="s">
        <v>711</v>
      </c>
      <c r="B840" s="107" t="s">
        <v>2524</v>
      </c>
      <c r="C840" s="71" t="s">
        <v>712</v>
      </c>
      <c r="D840" s="71" t="s">
        <v>713</v>
      </c>
      <c r="E840" s="108">
        <v>91479</v>
      </c>
      <c r="F840" s="109">
        <v>40345</v>
      </c>
      <c r="G840" s="109"/>
      <c r="H840" s="109">
        <v>40352</v>
      </c>
      <c r="I840" s="109">
        <v>40358</v>
      </c>
      <c r="J840" s="71"/>
      <c r="K840" s="110"/>
    </row>
    <row r="841" spans="1:11">
      <c r="A841" s="71" t="s">
        <v>714</v>
      </c>
      <c r="B841" s="107" t="s">
        <v>104</v>
      </c>
      <c r="C841" s="71" t="s">
        <v>1126</v>
      </c>
      <c r="D841" s="71" t="s">
        <v>715</v>
      </c>
      <c r="E841" s="108">
        <v>772200</v>
      </c>
      <c r="F841" s="109">
        <v>40365</v>
      </c>
      <c r="G841" s="109"/>
      <c r="H841" s="109">
        <v>40372</v>
      </c>
      <c r="I841" s="109">
        <v>40374</v>
      </c>
      <c r="J841" s="71"/>
      <c r="K841" s="110"/>
    </row>
    <row r="842" spans="1:11">
      <c r="A842" s="71" t="s">
        <v>716</v>
      </c>
      <c r="B842" s="107" t="s">
        <v>2509</v>
      </c>
      <c r="C842" s="71" t="s">
        <v>717</v>
      </c>
      <c r="D842" s="71" t="s">
        <v>718</v>
      </c>
      <c r="E842" s="108">
        <v>250300</v>
      </c>
      <c r="F842" s="109">
        <v>40351</v>
      </c>
      <c r="G842" s="109"/>
      <c r="H842" s="109">
        <v>40358</v>
      </c>
      <c r="I842" s="109">
        <v>40358</v>
      </c>
      <c r="J842" s="71"/>
      <c r="K842" s="110"/>
    </row>
    <row r="843" spans="1:11">
      <c r="A843" s="71" t="s">
        <v>719</v>
      </c>
      <c r="B843" s="107" t="s">
        <v>1247</v>
      </c>
      <c r="C843" s="71"/>
      <c r="D843" s="71" t="s">
        <v>720</v>
      </c>
      <c r="E843" s="108">
        <v>175000</v>
      </c>
      <c r="F843" s="109">
        <v>40353</v>
      </c>
      <c r="G843" s="109"/>
      <c r="H843" s="109">
        <v>40360</v>
      </c>
      <c r="I843" s="109"/>
      <c r="J843" s="71"/>
      <c r="K843" s="110"/>
    </row>
    <row r="844" spans="1:11">
      <c r="A844" s="71" t="s">
        <v>721</v>
      </c>
      <c r="B844" s="107" t="s">
        <v>1426</v>
      </c>
      <c r="C844" s="71" t="s">
        <v>9</v>
      </c>
      <c r="D844" s="71" t="s">
        <v>722</v>
      </c>
      <c r="E844" s="108">
        <v>850000</v>
      </c>
      <c r="F844" s="109">
        <v>40366</v>
      </c>
      <c r="G844" s="109"/>
      <c r="H844" s="109">
        <v>40387</v>
      </c>
      <c r="I844" s="109"/>
      <c r="J844" s="71"/>
      <c r="K844" s="110"/>
    </row>
    <row r="845" spans="1:11">
      <c r="A845" s="71" t="s">
        <v>723</v>
      </c>
      <c r="B845" s="107" t="s">
        <v>2538</v>
      </c>
      <c r="C845" s="71"/>
      <c r="D845" s="71" t="s">
        <v>724</v>
      </c>
      <c r="E845" s="108">
        <v>1100000</v>
      </c>
      <c r="F845" s="109">
        <v>40391</v>
      </c>
      <c r="G845" s="109"/>
      <c r="H845" s="109">
        <v>40392</v>
      </c>
      <c r="I845" s="109"/>
      <c r="J845" s="71"/>
      <c r="K845" s="110"/>
    </row>
    <row r="846" spans="1:11">
      <c r="A846" s="71" t="s">
        <v>725</v>
      </c>
      <c r="B846" s="107" t="s">
        <v>1210</v>
      </c>
      <c r="C846" s="71"/>
      <c r="D846" s="71" t="s">
        <v>726</v>
      </c>
      <c r="E846" s="108">
        <v>1000000</v>
      </c>
      <c r="F846" s="109">
        <v>40391</v>
      </c>
      <c r="G846" s="109"/>
      <c r="H846" s="109">
        <v>40422</v>
      </c>
      <c r="I846" s="109"/>
      <c r="J846" s="71"/>
      <c r="K846" s="110"/>
    </row>
    <row r="847" spans="1:11">
      <c r="A847" s="71" t="s">
        <v>727</v>
      </c>
      <c r="B847" s="107" t="s">
        <v>59</v>
      </c>
      <c r="C847" s="71"/>
      <c r="D847" s="71" t="s">
        <v>728</v>
      </c>
      <c r="E847" s="108">
        <v>328825</v>
      </c>
      <c r="F847" s="109">
        <v>40358</v>
      </c>
      <c r="G847" s="109"/>
      <c r="H847" s="109">
        <v>40367</v>
      </c>
      <c r="I847" s="109"/>
      <c r="J847" s="71"/>
      <c r="K847" s="110"/>
    </row>
    <row r="848" spans="1:11" ht="22.5">
      <c r="A848" s="71" t="s">
        <v>729</v>
      </c>
      <c r="B848" s="107" t="s">
        <v>196</v>
      </c>
      <c r="C848" s="71" t="s">
        <v>582</v>
      </c>
      <c r="D848" s="71" t="s">
        <v>730</v>
      </c>
      <c r="E848" s="108">
        <v>188642</v>
      </c>
      <c r="F848" s="109">
        <v>40359</v>
      </c>
      <c r="G848" s="109"/>
      <c r="H848" s="109">
        <v>40374</v>
      </c>
      <c r="I848" s="109">
        <v>40374</v>
      </c>
      <c r="J848" s="71"/>
      <c r="K848" s="110"/>
    </row>
    <row r="849" spans="1:11">
      <c r="A849" s="71" t="s">
        <v>731</v>
      </c>
      <c r="B849" s="107" t="s">
        <v>63</v>
      </c>
      <c r="C849" s="71"/>
      <c r="D849" s="71" t="s">
        <v>732</v>
      </c>
      <c r="E849" s="108">
        <v>180000</v>
      </c>
      <c r="F849" s="109">
        <v>40506</v>
      </c>
      <c r="G849" s="109"/>
      <c r="H849" s="109">
        <v>40529</v>
      </c>
      <c r="I849" s="109"/>
      <c r="J849" s="71"/>
      <c r="K849" s="110"/>
    </row>
    <row r="850" spans="1:11">
      <c r="A850" s="71" t="s">
        <v>733</v>
      </c>
      <c r="B850" s="107" t="s">
        <v>2541</v>
      </c>
      <c r="C850" s="71" t="s">
        <v>1435</v>
      </c>
      <c r="D850" s="71" t="s">
        <v>734</v>
      </c>
      <c r="E850" s="108">
        <v>316007</v>
      </c>
      <c r="F850" s="109">
        <v>40357</v>
      </c>
      <c r="G850" s="109"/>
      <c r="H850" s="109">
        <v>40373</v>
      </c>
      <c r="I850" s="109">
        <v>40374</v>
      </c>
      <c r="J850" s="71"/>
      <c r="K850" s="110"/>
    </row>
    <row r="851" spans="1:11">
      <c r="A851" s="71" t="s">
        <v>735</v>
      </c>
      <c r="B851" s="107" t="s">
        <v>1218</v>
      </c>
      <c r="C851" s="71" t="s">
        <v>1435</v>
      </c>
      <c r="D851" s="71" t="s">
        <v>736</v>
      </c>
      <c r="E851" s="108">
        <v>1529007</v>
      </c>
      <c r="F851" s="109">
        <v>40396</v>
      </c>
      <c r="G851" s="109"/>
      <c r="H851" s="109">
        <v>40406</v>
      </c>
      <c r="I851" s="109">
        <v>40430</v>
      </c>
      <c r="J851" s="71"/>
      <c r="K851" s="110"/>
    </row>
    <row r="852" spans="1:11" ht="22.5">
      <c r="A852" s="71" t="s">
        <v>737</v>
      </c>
      <c r="B852" s="107" t="s">
        <v>2507</v>
      </c>
      <c r="C852" s="71" t="s">
        <v>1200</v>
      </c>
      <c r="D852" s="71" t="s">
        <v>738</v>
      </c>
      <c r="E852" s="108">
        <v>1673802.8</v>
      </c>
      <c r="F852" s="109">
        <v>40380</v>
      </c>
      <c r="G852" s="109"/>
      <c r="H852" s="109">
        <v>40408</v>
      </c>
      <c r="I852" s="109">
        <v>40416</v>
      </c>
      <c r="J852" s="71"/>
      <c r="K852" s="110"/>
    </row>
    <row r="853" spans="1:11">
      <c r="A853" s="71" t="s">
        <v>739</v>
      </c>
      <c r="B853" s="107" t="s">
        <v>740</v>
      </c>
      <c r="C853" s="71" t="s">
        <v>1359</v>
      </c>
      <c r="D853" s="71" t="s">
        <v>741</v>
      </c>
      <c r="E853" s="108">
        <v>518388</v>
      </c>
      <c r="F853" s="109">
        <v>40331</v>
      </c>
      <c r="G853" s="109"/>
      <c r="H853" s="109">
        <v>40331</v>
      </c>
      <c r="I853" s="109">
        <v>40340</v>
      </c>
      <c r="J853" s="71"/>
      <c r="K853" s="110"/>
    </row>
    <row r="854" spans="1:11">
      <c r="A854" s="71" t="s">
        <v>742</v>
      </c>
      <c r="B854" s="107" t="s">
        <v>2520</v>
      </c>
      <c r="C854" s="71" t="s">
        <v>2518</v>
      </c>
      <c r="D854" s="71" t="s">
        <v>743</v>
      </c>
      <c r="E854" s="108"/>
      <c r="F854" s="109">
        <v>40353</v>
      </c>
      <c r="G854" s="109"/>
      <c r="H854" s="109">
        <v>40354</v>
      </c>
      <c r="I854" s="109"/>
      <c r="J854" s="71"/>
      <c r="K854" s="110"/>
    </row>
    <row r="855" spans="1:11">
      <c r="A855" s="71" t="s">
        <v>744</v>
      </c>
      <c r="B855" s="107" t="s">
        <v>1214</v>
      </c>
      <c r="C855" s="71"/>
      <c r="D855" s="71" t="s">
        <v>745</v>
      </c>
      <c r="E855" s="108">
        <v>800000</v>
      </c>
      <c r="F855" s="109">
        <v>40388</v>
      </c>
      <c r="G855" s="109"/>
      <c r="H855" s="109">
        <v>40400</v>
      </c>
      <c r="I855" s="109"/>
      <c r="J855" s="71"/>
      <c r="K855" s="110"/>
    </row>
    <row r="856" spans="1:11">
      <c r="A856" s="71" t="s">
        <v>746</v>
      </c>
      <c r="B856" s="107" t="s">
        <v>747</v>
      </c>
      <c r="C856" s="71" t="s">
        <v>1359</v>
      </c>
      <c r="D856" s="71" t="s">
        <v>748</v>
      </c>
      <c r="E856" s="108">
        <v>2823417</v>
      </c>
      <c r="F856" s="109">
        <v>40379</v>
      </c>
      <c r="G856" s="109"/>
      <c r="H856" s="109">
        <v>40395</v>
      </c>
      <c r="I856" s="109">
        <v>40406</v>
      </c>
      <c r="J856" s="71"/>
      <c r="K856" s="110"/>
    </row>
    <row r="857" spans="1:11">
      <c r="A857" s="71" t="s">
        <v>749</v>
      </c>
      <c r="B857" s="107" t="s">
        <v>2509</v>
      </c>
      <c r="C857" s="71" t="s">
        <v>750</v>
      </c>
      <c r="D857" s="71" t="s">
        <v>751</v>
      </c>
      <c r="E857" s="108">
        <v>249970.24</v>
      </c>
      <c r="F857" s="109">
        <v>40372</v>
      </c>
      <c r="G857" s="109"/>
      <c r="H857" s="109">
        <v>40387</v>
      </c>
      <c r="I857" s="109"/>
      <c r="J857" s="71"/>
      <c r="K857" s="110"/>
    </row>
    <row r="858" spans="1:11" ht="22.5">
      <c r="A858" s="71" t="s">
        <v>752</v>
      </c>
      <c r="B858" s="107" t="s">
        <v>59</v>
      </c>
      <c r="C858" s="71" t="s">
        <v>753</v>
      </c>
      <c r="D858" s="71" t="s">
        <v>754</v>
      </c>
      <c r="E858" s="108">
        <v>3261462.85</v>
      </c>
      <c r="F858" s="109">
        <v>40379</v>
      </c>
      <c r="G858" s="109"/>
      <c r="H858" s="109">
        <v>40387</v>
      </c>
      <c r="I858" s="109">
        <v>40387</v>
      </c>
      <c r="J858" s="71"/>
      <c r="K858" s="110"/>
    </row>
    <row r="859" spans="1:11">
      <c r="A859" s="71" t="s">
        <v>755</v>
      </c>
      <c r="B859" s="107" t="s">
        <v>59</v>
      </c>
      <c r="C859" s="71"/>
      <c r="D859" s="71" t="s">
        <v>756</v>
      </c>
      <c r="E859" s="108">
        <v>1251500</v>
      </c>
      <c r="F859" s="109">
        <v>40407</v>
      </c>
      <c r="G859" s="109"/>
      <c r="H859" s="109"/>
      <c r="I859" s="109"/>
      <c r="J859" s="71"/>
      <c r="K859" s="110" t="s">
        <v>757</v>
      </c>
    </row>
    <row r="860" spans="1:11">
      <c r="A860" s="71" t="s">
        <v>758</v>
      </c>
      <c r="B860" s="107" t="s">
        <v>2538</v>
      </c>
      <c r="C860" s="71" t="s">
        <v>1365</v>
      </c>
      <c r="D860" s="71" t="s">
        <v>759</v>
      </c>
      <c r="E860" s="108">
        <v>814814</v>
      </c>
      <c r="F860" s="109">
        <v>40371</v>
      </c>
      <c r="G860" s="109"/>
      <c r="H860" s="109">
        <v>40378</v>
      </c>
      <c r="I860" s="109">
        <v>40387</v>
      </c>
      <c r="J860" s="71"/>
      <c r="K860" s="110"/>
    </row>
    <row r="861" spans="1:11" ht="22.5">
      <c r="A861" s="71" t="s">
        <v>760</v>
      </c>
      <c r="B861" s="107" t="s">
        <v>2509</v>
      </c>
      <c r="C861" s="71" t="s">
        <v>1311</v>
      </c>
      <c r="D861" s="71" t="s">
        <v>761</v>
      </c>
      <c r="E861" s="108">
        <v>301310</v>
      </c>
      <c r="F861" s="109">
        <v>40367</v>
      </c>
      <c r="G861" s="109"/>
      <c r="H861" s="109">
        <v>40372</v>
      </c>
      <c r="I861" s="109">
        <v>40372</v>
      </c>
      <c r="J861" s="71"/>
      <c r="K861" s="110"/>
    </row>
    <row r="862" spans="1:11">
      <c r="A862" s="71" t="s">
        <v>762</v>
      </c>
      <c r="B862" s="107" t="s">
        <v>1096</v>
      </c>
      <c r="C862" s="71"/>
      <c r="D862" s="71" t="s">
        <v>763</v>
      </c>
      <c r="E862" s="108">
        <v>2407804</v>
      </c>
      <c r="F862" s="109" t="s">
        <v>1507</v>
      </c>
      <c r="G862" s="109"/>
      <c r="H862" s="109">
        <v>40298</v>
      </c>
      <c r="I862" s="109"/>
      <c r="J862" s="71"/>
      <c r="K862" s="110"/>
    </row>
    <row r="863" spans="1:11">
      <c r="A863" s="71" t="s">
        <v>764</v>
      </c>
      <c r="B863" s="107" t="s">
        <v>1096</v>
      </c>
      <c r="C863" s="71"/>
      <c r="D863" s="71" t="s">
        <v>765</v>
      </c>
      <c r="E863" s="108">
        <v>440955</v>
      </c>
      <c r="F863" s="109" t="s">
        <v>1507</v>
      </c>
      <c r="G863" s="109"/>
      <c r="H863" s="109">
        <v>40359</v>
      </c>
      <c r="I863" s="109"/>
      <c r="J863" s="71"/>
      <c r="K863" s="110"/>
    </row>
    <row r="864" spans="1:11">
      <c r="A864" s="71" t="s">
        <v>766</v>
      </c>
      <c r="B864" s="107" t="s">
        <v>1415</v>
      </c>
      <c r="C864" s="71"/>
      <c r="D864" s="71" t="s">
        <v>767</v>
      </c>
      <c r="E864" s="108">
        <v>700000</v>
      </c>
      <c r="F864" s="109">
        <v>40365</v>
      </c>
      <c r="G864" s="109"/>
      <c r="H864" s="109">
        <v>40367</v>
      </c>
      <c r="I864" s="109"/>
      <c r="J864" s="71"/>
      <c r="K864" s="110" t="s">
        <v>2877</v>
      </c>
    </row>
    <row r="865" spans="1:11">
      <c r="A865" s="71" t="s">
        <v>768</v>
      </c>
      <c r="B865" s="107" t="s">
        <v>2520</v>
      </c>
      <c r="C865" s="71" t="s">
        <v>205</v>
      </c>
      <c r="D865" s="71" t="s">
        <v>769</v>
      </c>
      <c r="E865" s="108">
        <v>1927805</v>
      </c>
      <c r="F865" s="109">
        <v>40276</v>
      </c>
      <c r="G865" s="109"/>
      <c r="H865" s="109">
        <v>40339</v>
      </c>
      <c r="I865" s="109">
        <v>40345</v>
      </c>
      <c r="J865" s="71"/>
      <c r="K865" s="110" t="s">
        <v>2877</v>
      </c>
    </row>
    <row r="866" spans="1:11">
      <c r="A866" s="71" t="s">
        <v>770</v>
      </c>
      <c r="B866" s="107" t="s">
        <v>2524</v>
      </c>
      <c r="C866" s="71" t="s">
        <v>771</v>
      </c>
      <c r="D866" s="71" t="s">
        <v>772</v>
      </c>
      <c r="E866" s="108">
        <v>134000</v>
      </c>
      <c r="F866" s="109">
        <v>40360</v>
      </c>
      <c r="G866" s="109"/>
      <c r="H866" s="109">
        <v>40375</v>
      </c>
      <c r="I866" s="109">
        <v>40385</v>
      </c>
      <c r="J866" s="71"/>
      <c r="K866" s="110" t="s">
        <v>2877</v>
      </c>
    </row>
    <row r="867" spans="1:11">
      <c r="A867" s="71" t="s">
        <v>773</v>
      </c>
      <c r="B867" s="107" t="s">
        <v>2538</v>
      </c>
      <c r="C867" s="71" t="s">
        <v>774</v>
      </c>
      <c r="D867" s="71" t="s">
        <v>775</v>
      </c>
      <c r="E867" s="108"/>
      <c r="F867" s="109">
        <v>40387</v>
      </c>
      <c r="G867" s="109"/>
      <c r="H867" s="109">
        <v>40388</v>
      </c>
      <c r="I867" s="109"/>
      <c r="J867" s="71"/>
      <c r="K867" s="110"/>
    </row>
    <row r="868" spans="1:11">
      <c r="A868" s="71" t="s">
        <v>776</v>
      </c>
      <c r="B868" s="107" t="s">
        <v>2527</v>
      </c>
      <c r="C868" s="71" t="s">
        <v>777</v>
      </c>
      <c r="D868" s="71" t="s">
        <v>778</v>
      </c>
      <c r="E868" s="108">
        <v>129329.12</v>
      </c>
      <c r="F868" s="109">
        <v>40386</v>
      </c>
      <c r="G868" s="109"/>
      <c r="H868" s="109">
        <v>40393</v>
      </c>
      <c r="I868" s="109">
        <v>40437</v>
      </c>
      <c r="J868" s="71"/>
      <c r="K868" s="110" t="s">
        <v>2877</v>
      </c>
    </row>
    <row r="869" spans="1:11">
      <c r="A869" s="71" t="s">
        <v>779</v>
      </c>
      <c r="B869" s="107" t="s">
        <v>1551</v>
      </c>
      <c r="C869" s="71"/>
      <c r="D869" s="71" t="s">
        <v>1315</v>
      </c>
      <c r="E869" s="108">
        <v>420000</v>
      </c>
      <c r="F869" s="109">
        <v>40379</v>
      </c>
      <c r="G869" s="109"/>
      <c r="H869" s="109">
        <v>40438</v>
      </c>
      <c r="I869" s="109"/>
      <c r="J869" s="71"/>
      <c r="K869" s="110"/>
    </row>
    <row r="870" spans="1:11">
      <c r="A870" s="71" t="s">
        <v>780</v>
      </c>
      <c r="B870" s="107" t="s">
        <v>642</v>
      </c>
      <c r="C870" s="71" t="s">
        <v>781</v>
      </c>
      <c r="D870" s="71" t="s">
        <v>782</v>
      </c>
      <c r="E870" s="108">
        <v>492006</v>
      </c>
      <c r="F870" s="109">
        <v>40435</v>
      </c>
      <c r="G870" s="109"/>
      <c r="H870" s="109">
        <v>40441</v>
      </c>
      <c r="I870" s="109"/>
      <c r="J870" s="71"/>
      <c r="K870" s="110"/>
    </row>
    <row r="871" spans="1:11">
      <c r="A871" s="71" t="s">
        <v>783</v>
      </c>
      <c r="B871" s="107" t="s">
        <v>2516</v>
      </c>
      <c r="C871" s="71"/>
      <c r="D871" s="71" t="s">
        <v>784</v>
      </c>
      <c r="E871" s="108">
        <v>235100</v>
      </c>
      <c r="F871" s="109">
        <v>40379</v>
      </c>
      <c r="G871" s="109"/>
      <c r="H871" s="109">
        <v>40382</v>
      </c>
      <c r="I871" s="109"/>
      <c r="J871" s="71"/>
      <c r="K871" s="110" t="s">
        <v>155</v>
      </c>
    </row>
    <row r="872" spans="1:11">
      <c r="A872" s="71" t="s">
        <v>785</v>
      </c>
      <c r="B872" s="107" t="s">
        <v>1110</v>
      </c>
      <c r="C872" s="71"/>
      <c r="D872" s="71" t="s">
        <v>786</v>
      </c>
      <c r="E872" s="108">
        <v>2000000</v>
      </c>
      <c r="F872" s="109">
        <v>40386</v>
      </c>
      <c r="G872" s="109"/>
      <c r="H872" s="109">
        <v>40394</v>
      </c>
      <c r="I872" s="109"/>
      <c r="J872" s="71"/>
      <c r="K872" s="110"/>
    </row>
    <row r="873" spans="1:11" ht="22.5">
      <c r="A873" s="71" t="s">
        <v>787</v>
      </c>
      <c r="B873" s="107" t="s">
        <v>2509</v>
      </c>
      <c r="C873" s="71" t="s">
        <v>788</v>
      </c>
      <c r="D873" s="71" t="s">
        <v>789</v>
      </c>
      <c r="E873" s="108">
        <v>70947</v>
      </c>
      <c r="F873" s="109">
        <v>40351</v>
      </c>
      <c r="G873" s="109"/>
      <c r="H873" s="109">
        <v>40353</v>
      </c>
      <c r="I873" s="109">
        <v>40353</v>
      </c>
      <c r="J873" s="71"/>
      <c r="K873" s="110" t="s">
        <v>2877</v>
      </c>
    </row>
    <row r="874" spans="1:11">
      <c r="A874" s="71" t="s">
        <v>790</v>
      </c>
      <c r="B874" s="107" t="s">
        <v>791</v>
      </c>
      <c r="C874" s="71" t="s">
        <v>1435</v>
      </c>
      <c r="D874" s="71" t="s">
        <v>792</v>
      </c>
      <c r="E874" s="108">
        <v>1110007</v>
      </c>
      <c r="F874" s="109">
        <v>40379</v>
      </c>
      <c r="G874" s="109"/>
      <c r="H874" s="109">
        <v>40379</v>
      </c>
      <c r="I874" s="109">
        <v>40381</v>
      </c>
      <c r="J874" s="71"/>
      <c r="K874" s="110"/>
    </row>
    <row r="875" spans="1:11">
      <c r="A875" s="71" t="s">
        <v>793</v>
      </c>
      <c r="B875" s="107" t="s">
        <v>1301</v>
      </c>
      <c r="C875" s="71" t="s">
        <v>781</v>
      </c>
      <c r="D875" s="71" t="s">
        <v>794</v>
      </c>
      <c r="E875" s="108">
        <v>4000000</v>
      </c>
      <c r="F875" s="109">
        <v>40366</v>
      </c>
      <c r="G875" s="109"/>
      <c r="H875" s="109">
        <v>40434</v>
      </c>
      <c r="I875" s="109"/>
      <c r="J875" s="71"/>
      <c r="K875" s="110"/>
    </row>
    <row r="876" spans="1:11">
      <c r="A876" s="71" t="s">
        <v>795</v>
      </c>
      <c r="B876" s="107" t="s">
        <v>2542</v>
      </c>
      <c r="C876" s="71" t="s">
        <v>1435</v>
      </c>
      <c r="D876" s="71" t="s">
        <v>796</v>
      </c>
      <c r="E876" s="108">
        <v>1237007</v>
      </c>
      <c r="F876" s="109">
        <v>40375</v>
      </c>
      <c r="G876" s="109"/>
      <c r="H876" s="109">
        <v>40395</v>
      </c>
      <c r="I876" s="109">
        <v>40395</v>
      </c>
      <c r="J876" s="71"/>
      <c r="K876" s="110" t="s">
        <v>2877</v>
      </c>
    </row>
    <row r="877" spans="1:11">
      <c r="A877" s="71" t="s">
        <v>797</v>
      </c>
      <c r="B877" s="107" t="s">
        <v>1247</v>
      </c>
      <c r="C877" s="71" t="s">
        <v>798</v>
      </c>
      <c r="D877" s="71" t="s">
        <v>799</v>
      </c>
      <c r="E877" s="108">
        <v>499891</v>
      </c>
      <c r="F877" s="109">
        <v>40345</v>
      </c>
      <c r="G877" s="109"/>
      <c r="H877" s="109">
        <v>40354</v>
      </c>
      <c r="I877" s="109">
        <v>40357</v>
      </c>
      <c r="J877" s="71"/>
      <c r="K877" s="110"/>
    </row>
    <row r="878" spans="1:11" ht="25.5">
      <c r="A878" s="71" t="s">
        <v>800</v>
      </c>
      <c r="B878" s="107" t="s">
        <v>1306</v>
      </c>
      <c r="C878" s="71"/>
      <c r="D878" s="71" t="s">
        <v>801</v>
      </c>
      <c r="E878" s="108">
        <v>451000</v>
      </c>
      <c r="F878" s="109">
        <v>40381</v>
      </c>
      <c r="G878" s="109"/>
      <c r="H878" s="109">
        <v>40386</v>
      </c>
      <c r="I878" s="109"/>
      <c r="J878" s="71"/>
      <c r="K878" s="110" t="s">
        <v>802</v>
      </c>
    </row>
    <row r="879" spans="1:11">
      <c r="A879" s="71" t="s">
        <v>803</v>
      </c>
      <c r="B879" s="107" t="s">
        <v>804</v>
      </c>
      <c r="C879" s="71"/>
      <c r="D879" s="71" t="s">
        <v>805</v>
      </c>
      <c r="E879" s="108">
        <v>4000000</v>
      </c>
      <c r="F879" s="109">
        <v>40392</v>
      </c>
      <c r="G879" s="109"/>
      <c r="H879" s="109" t="s">
        <v>806</v>
      </c>
      <c r="I879" s="109"/>
      <c r="J879" s="71"/>
      <c r="K879" s="110" t="s">
        <v>2877</v>
      </c>
    </row>
    <row r="880" spans="1:11">
      <c r="A880" s="71" t="s">
        <v>807</v>
      </c>
      <c r="B880" s="107" t="s">
        <v>1286</v>
      </c>
      <c r="C880" s="71"/>
      <c r="D880" s="71" t="s">
        <v>808</v>
      </c>
      <c r="E880" s="108">
        <v>407305</v>
      </c>
      <c r="F880" s="109">
        <v>40422</v>
      </c>
      <c r="G880" s="109"/>
      <c r="H880" s="109"/>
      <c r="I880" s="109"/>
      <c r="J880" s="71"/>
      <c r="K880" s="110"/>
    </row>
    <row r="881" spans="1:11">
      <c r="A881" s="71" t="s">
        <v>809</v>
      </c>
      <c r="B881" s="107" t="s">
        <v>1286</v>
      </c>
      <c r="C881" s="71"/>
      <c r="D881" s="71" t="s">
        <v>595</v>
      </c>
      <c r="E881" s="108">
        <v>704000</v>
      </c>
      <c r="F881" s="109">
        <v>40422</v>
      </c>
      <c r="G881" s="109"/>
      <c r="H881" s="109"/>
      <c r="I881" s="109"/>
      <c r="J881" s="71"/>
      <c r="K881" s="110"/>
    </row>
    <row r="882" spans="1:11">
      <c r="A882" s="71" t="s">
        <v>810</v>
      </c>
      <c r="B882" s="107" t="s">
        <v>2509</v>
      </c>
      <c r="C882" s="71"/>
      <c r="D882" s="71" t="s">
        <v>811</v>
      </c>
      <c r="E882" s="108">
        <v>250000</v>
      </c>
      <c r="F882" s="109">
        <v>40379</v>
      </c>
      <c r="G882" s="109"/>
      <c r="H882" s="109">
        <v>40410</v>
      </c>
      <c r="I882" s="109"/>
      <c r="J882" s="71"/>
      <c r="K882" s="110"/>
    </row>
    <row r="883" spans="1:11">
      <c r="A883" s="71" t="s">
        <v>812</v>
      </c>
      <c r="B883" s="107" t="s">
        <v>2527</v>
      </c>
      <c r="C883" s="71"/>
      <c r="D883" s="71" t="s">
        <v>813</v>
      </c>
      <c r="E883" s="108">
        <v>350000</v>
      </c>
      <c r="F883" s="109">
        <v>40386</v>
      </c>
      <c r="G883" s="109"/>
      <c r="H883" s="109">
        <v>40393</v>
      </c>
      <c r="I883" s="109"/>
      <c r="J883" s="71"/>
      <c r="K883" s="110"/>
    </row>
    <row r="884" spans="1:11">
      <c r="A884" s="71" t="s">
        <v>814</v>
      </c>
      <c r="B884" s="107" t="s">
        <v>1286</v>
      </c>
      <c r="C884" s="71"/>
      <c r="D884" s="71" t="s">
        <v>815</v>
      </c>
      <c r="E884" s="108">
        <v>1275954</v>
      </c>
      <c r="F884" s="109">
        <v>40388</v>
      </c>
      <c r="G884" s="109"/>
      <c r="H884" s="109"/>
      <c r="I884" s="109"/>
      <c r="J884" s="71"/>
      <c r="K884" s="110"/>
    </row>
    <row r="885" spans="1:11">
      <c r="A885" s="71" t="s">
        <v>816</v>
      </c>
      <c r="B885" s="107" t="s">
        <v>2507</v>
      </c>
      <c r="C885" s="71"/>
      <c r="D885" s="71" t="s">
        <v>817</v>
      </c>
      <c r="E885" s="108">
        <v>450000</v>
      </c>
      <c r="F885" s="109">
        <v>40388</v>
      </c>
      <c r="G885" s="109"/>
      <c r="H885" s="109">
        <v>40408</v>
      </c>
      <c r="I885" s="109"/>
      <c r="J885" s="71"/>
      <c r="K885" s="110"/>
    </row>
    <row r="886" spans="1:11" ht="22.5">
      <c r="A886" s="71" t="s">
        <v>818</v>
      </c>
      <c r="B886" s="107" t="s">
        <v>2543</v>
      </c>
      <c r="C886" s="71" t="s">
        <v>819</v>
      </c>
      <c r="D886" s="71" t="s">
        <v>820</v>
      </c>
      <c r="E886" s="108">
        <v>986632.29</v>
      </c>
      <c r="F886" s="109">
        <v>40253</v>
      </c>
      <c r="G886" s="109"/>
      <c r="H886" s="109">
        <v>40253</v>
      </c>
      <c r="I886" s="109"/>
      <c r="J886" s="71"/>
      <c r="K886" s="110"/>
    </row>
    <row r="887" spans="1:11">
      <c r="A887" s="71" t="s">
        <v>821</v>
      </c>
      <c r="B887" s="107" t="s">
        <v>2524</v>
      </c>
      <c r="C887" s="71"/>
      <c r="D887" s="71" t="s">
        <v>822</v>
      </c>
      <c r="E887" s="108">
        <v>739000</v>
      </c>
      <c r="F887" s="109">
        <v>40403</v>
      </c>
      <c r="G887" s="109"/>
      <c r="H887" s="109"/>
      <c r="I887" s="109"/>
      <c r="J887" s="71"/>
      <c r="K887" s="110"/>
    </row>
    <row r="888" spans="1:11">
      <c r="A888" s="71" t="s">
        <v>823</v>
      </c>
      <c r="B888" s="107" t="s">
        <v>1131</v>
      </c>
      <c r="C888" s="71" t="s">
        <v>824</v>
      </c>
      <c r="D888" s="71" t="s">
        <v>825</v>
      </c>
      <c r="E888" s="108">
        <v>293670</v>
      </c>
      <c r="F888" s="109">
        <v>40388</v>
      </c>
      <c r="G888" s="109"/>
      <c r="H888" s="109">
        <v>40402</v>
      </c>
      <c r="I888" s="109">
        <v>40408</v>
      </c>
      <c r="J888" s="71"/>
      <c r="K888" s="110"/>
    </row>
    <row r="889" spans="1:11">
      <c r="A889" s="71" t="s">
        <v>826</v>
      </c>
      <c r="B889" s="107" t="s">
        <v>1214</v>
      </c>
      <c r="C889" s="71" t="s">
        <v>1126</v>
      </c>
      <c r="D889" s="71" t="s">
        <v>827</v>
      </c>
      <c r="E889" s="108">
        <v>675000</v>
      </c>
      <c r="F889" s="109">
        <v>40416</v>
      </c>
      <c r="G889" s="109"/>
      <c r="H889" s="109">
        <v>40428</v>
      </c>
      <c r="I889" s="109">
        <v>40429</v>
      </c>
      <c r="J889" s="71"/>
      <c r="K889" s="110"/>
    </row>
    <row r="890" spans="1:11">
      <c r="A890" s="71" t="s">
        <v>828</v>
      </c>
      <c r="B890" s="107" t="s">
        <v>1131</v>
      </c>
      <c r="C890" s="71"/>
      <c r="D890" s="71" t="s">
        <v>829</v>
      </c>
      <c r="E890" s="108">
        <v>400000</v>
      </c>
      <c r="F890" s="109">
        <v>40416</v>
      </c>
      <c r="G890" s="109"/>
      <c r="H890" s="109">
        <v>40401</v>
      </c>
      <c r="I890" s="109"/>
      <c r="J890" s="71"/>
      <c r="K890" s="110"/>
    </row>
    <row r="891" spans="1:11" ht="22.5">
      <c r="A891" s="71" t="s">
        <v>830</v>
      </c>
      <c r="B891" s="107" t="s">
        <v>1131</v>
      </c>
      <c r="C891" s="71" t="s">
        <v>831</v>
      </c>
      <c r="D891" s="71" t="s">
        <v>832</v>
      </c>
      <c r="E891" s="108">
        <v>1546860</v>
      </c>
      <c r="F891" s="109">
        <v>40388</v>
      </c>
      <c r="G891" s="109"/>
      <c r="H891" s="109">
        <v>40402</v>
      </c>
      <c r="I891" s="109">
        <v>40408</v>
      </c>
      <c r="J891" s="71"/>
      <c r="K891" s="110"/>
    </row>
    <row r="892" spans="1:11">
      <c r="A892" s="71" t="s">
        <v>833</v>
      </c>
      <c r="B892" s="107" t="s">
        <v>434</v>
      </c>
      <c r="C892" s="71"/>
      <c r="D892" s="71" t="s">
        <v>834</v>
      </c>
      <c r="E892" s="108">
        <v>650000</v>
      </c>
      <c r="F892" s="109">
        <v>40372</v>
      </c>
      <c r="G892" s="109"/>
      <c r="H892" s="109">
        <v>40429</v>
      </c>
      <c r="I892" s="109"/>
      <c r="J892" s="71"/>
      <c r="K892" s="110"/>
    </row>
    <row r="893" spans="1:11">
      <c r="A893" s="71" t="s">
        <v>835</v>
      </c>
      <c r="B893" s="107" t="s">
        <v>434</v>
      </c>
      <c r="C893" s="71"/>
      <c r="D893" s="71" t="s">
        <v>836</v>
      </c>
      <c r="E893" s="108">
        <v>350000</v>
      </c>
      <c r="F893" s="109">
        <v>40372</v>
      </c>
      <c r="G893" s="109"/>
      <c r="H893" s="109">
        <v>40401</v>
      </c>
      <c r="I893" s="109"/>
      <c r="J893" s="71"/>
      <c r="K893" s="110"/>
    </row>
    <row r="894" spans="1:11">
      <c r="A894" s="71" t="s">
        <v>837</v>
      </c>
      <c r="B894" s="107" t="s">
        <v>2542</v>
      </c>
      <c r="C894" s="71"/>
      <c r="D894" s="71" t="s">
        <v>838</v>
      </c>
      <c r="E894" s="108">
        <v>500000</v>
      </c>
      <c r="F894" s="109">
        <v>40389</v>
      </c>
      <c r="G894" s="109"/>
      <c r="H894" s="109">
        <v>40384</v>
      </c>
      <c r="I894" s="109"/>
      <c r="J894" s="71"/>
      <c r="K894" s="110"/>
    </row>
    <row r="895" spans="1:11">
      <c r="A895" s="71" t="s">
        <v>839</v>
      </c>
      <c r="B895" s="107" t="s">
        <v>2520</v>
      </c>
      <c r="C895" s="71" t="s">
        <v>417</v>
      </c>
      <c r="D895" s="71" t="s">
        <v>840</v>
      </c>
      <c r="E895" s="108">
        <v>1051034</v>
      </c>
      <c r="F895" s="109">
        <v>40407</v>
      </c>
      <c r="G895" s="109"/>
      <c r="H895" s="109">
        <v>40415</v>
      </c>
      <c r="I895" s="109"/>
      <c r="J895" s="71"/>
      <c r="K895" s="110"/>
    </row>
    <row r="896" spans="1:11" ht="22.5">
      <c r="A896" s="71" t="s">
        <v>841</v>
      </c>
      <c r="B896" s="107" t="s">
        <v>2520</v>
      </c>
      <c r="C896" s="71" t="s">
        <v>842</v>
      </c>
      <c r="D896" s="71" t="s">
        <v>843</v>
      </c>
      <c r="E896" s="108">
        <v>280000</v>
      </c>
      <c r="F896" s="109">
        <v>40394</v>
      </c>
      <c r="G896" s="109"/>
      <c r="H896" s="109">
        <v>40409</v>
      </c>
      <c r="I896" s="109"/>
      <c r="J896" s="71"/>
      <c r="K896" s="110"/>
    </row>
    <row r="897" spans="1:11">
      <c r="A897" s="71" t="s">
        <v>844</v>
      </c>
      <c r="B897" s="107" t="s">
        <v>2520</v>
      </c>
      <c r="C897" s="71" t="s">
        <v>842</v>
      </c>
      <c r="D897" s="71" t="s">
        <v>845</v>
      </c>
      <c r="E897" s="108">
        <v>280000</v>
      </c>
      <c r="F897" s="109">
        <v>40394</v>
      </c>
      <c r="G897" s="109"/>
      <c r="H897" s="109">
        <v>40402</v>
      </c>
      <c r="I897" s="109"/>
      <c r="J897" s="71"/>
      <c r="K897" s="110"/>
    </row>
    <row r="898" spans="1:11">
      <c r="A898" s="71" t="s">
        <v>846</v>
      </c>
      <c r="B898" s="107" t="s">
        <v>2520</v>
      </c>
      <c r="C898" s="71" t="s">
        <v>842</v>
      </c>
      <c r="D898" s="71" t="s">
        <v>847</v>
      </c>
      <c r="E898" s="108">
        <v>280000</v>
      </c>
      <c r="F898" s="109">
        <v>40394</v>
      </c>
      <c r="G898" s="109"/>
      <c r="H898" s="109">
        <v>40402</v>
      </c>
      <c r="I898" s="109"/>
      <c r="J898" s="71"/>
      <c r="K898" s="110"/>
    </row>
    <row r="899" spans="1:11" ht="22.5">
      <c r="A899" s="71" t="s">
        <v>848</v>
      </c>
      <c r="B899" s="107" t="s">
        <v>1426</v>
      </c>
      <c r="C899" s="71"/>
      <c r="D899" s="71" t="s">
        <v>849</v>
      </c>
      <c r="E899" s="108">
        <v>530000</v>
      </c>
      <c r="F899" s="109">
        <v>40388</v>
      </c>
      <c r="G899" s="109"/>
      <c r="H899" s="109">
        <v>40402</v>
      </c>
      <c r="I899" s="109"/>
      <c r="J899" s="71"/>
      <c r="K899" s="110"/>
    </row>
    <row r="900" spans="1:11" ht="22.5">
      <c r="A900" s="71" t="s">
        <v>850</v>
      </c>
      <c r="B900" s="107" t="s">
        <v>1426</v>
      </c>
      <c r="C900" s="71"/>
      <c r="D900" s="71" t="s">
        <v>851</v>
      </c>
      <c r="E900" s="108">
        <v>430000</v>
      </c>
      <c r="F900" s="109">
        <v>40388</v>
      </c>
      <c r="G900" s="109"/>
      <c r="H900" s="109">
        <v>40402</v>
      </c>
      <c r="I900" s="109"/>
      <c r="J900" s="71"/>
      <c r="K900" s="110"/>
    </row>
    <row r="901" spans="1:11">
      <c r="A901" s="71" t="s">
        <v>852</v>
      </c>
      <c r="B901" s="107" t="s">
        <v>2509</v>
      </c>
      <c r="C901" s="71" t="s">
        <v>1536</v>
      </c>
      <c r="D901" s="71" t="s">
        <v>853</v>
      </c>
      <c r="E901" s="108">
        <v>137380</v>
      </c>
      <c r="F901" s="109">
        <v>40395</v>
      </c>
      <c r="G901" s="109"/>
      <c r="H901" s="109">
        <v>40414</v>
      </c>
      <c r="I901" s="109"/>
      <c r="J901" s="71"/>
      <c r="K901" s="110"/>
    </row>
    <row r="902" spans="1:11" ht="22.5">
      <c r="A902" s="71" t="s">
        <v>854</v>
      </c>
      <c r="B902" s="107" t="s">
        <v>2509</v>
      </c>
      <c r="C902" s="71" t="s">
        <v>855</v>
      </c>
      <c r="D902" s="71" t="s">
        <v>856</v>
      </c>
      <c r="E902" s="108">
        <v>77500</v>
      </c>
      <c r="F902" s="109">
        <v>40386</v>
      </c>
      <c r="G902" s="109"/>
      <c r="H902" s="109">
        <v>40414</v>
      </c>
      <c r="I902" s="109"/>
      <c r="J902" s="71"/>
      <c r="K902" s="110"/>
    </row>
    <row r="903" spans="1:11">
      <c r="A903" s="71" t="s">
        <v>857</v>
      </c>
      <c r="B903" s="107" t="s">
        <v>1063</v>
      </c>
      <c r="C903" s="71"/>
      <c r="D903" s="71" t="s">
        <v>858</v>
      </c>
      <c r="E903" s="108">
        <v>4000000</v>
      </c>
      <c r="F903" s="109">
        <v>40389</v>
      </c>
      <c r="G903" s="109"/>
      <c r="H903" s="109">
        <v>40399</v>
      </c>
      <c r="I903" s="109">
        <v>40399</v>
      </c>
      <c r="J903" s="71"/>
      <c r="K903" s="110"/>
    </row>
    <row r="904" spans="1:11">
      <c r="A904" s="71" t="s">
        <v>859</v>
      </c>
      <c r="B904" s="107" t="s">
        <v>1415</v>
      </c>
      <c r="C904" s="71"/>
      <c r="D904" s="71" t="s">
        <v>860</v>
      </c>
      <c r="E904" s="108">
        <v>140000</v>
      </c>
      <c r="F904" s="109">
        <v>40365</v>
      </c>
      <c r="G904" s="109"/>
      <c r="H904" s="109">
        <v>40387</v>
      </c>
      <c r="I904" s="109"/>
      <c r="J904" s="71"/>
      <c r="K904" s="110"/>
    </row>
    <row r="905" spans="1:11">
      <c r="A905" s="71" t="s">
        <v>861</v>
      </c>
      <c r="B905" s="107" t="s">
        <v>1415</v>
      </c>
      <c r="C905" s="71"/>
      <c r="D905" s="71" t="s">
        <v>862</v>
      </c>
      <c r="E905" s="108">
        <v>700000</v>
      </c>
      <c r="F905" s="109">
        <v>40351</v>
      </c>
      <c r="G905" s="109"/>
      <c r="H905" s="109">
        <v>40430</v>
      </c>
      <c r="I905" s="109"/>
      <c r="J905" s="71"/>
      <c r="K905" s="110"/>
    </row>
    <row r="906" spans="1:11">
      <c r="A906" s="71" t="s">
        <v>863</v>
      </c>
      <c r="B906" s="107" t="s">
        <v>1415</v>
      </c>
      <c r="C906" s="71"/>
      <c r="D906" s="71" t="s">
        <v>864</v>
      </c>
      <c r="E906" s="108">
        <v>480000</v>
      </c>
      <c r="F906" s="109">
        <v>40351</v>
      </c>
      <c r="G906" s="109"/>
      <c r="H906" s="109">
        <v>40367</v>
      </c>
      <c r="I906" s="109"/>
      <c r="J906" s="71"/>
      <c r="K906" s="110"/>
    </row>
    <row r="907" spans="1:11" ht="25.5">
      <c r="A907" s="71" t="s">
        <v>865</v>
      </c>
      <c r="B907" s="107" t="s">
        <v>1415</v>
      </c>
      <c r="C907" s="71"/>
      <c r="D907" s="71" t="s">
        <v>866</v>
      </c>
      <c r="E907" s="108">
        <v>225000</v>
      </c>
      <c r="F907" s="109">
        <v>40365</v>
      </c>
      <c r="G907" s="109"/>
      <c r="H907" s="109">
        <v>40353</v>
      </c>
      <c r="I907" s="109"/>
      <c r="J907" s="71"/>
      <c r="K907" s="110" t="s">
        <v>867</v>
      </c>
    </row>
    <row r="908" spans="1:11">
      <c r="A908" s="71" t="s">
        <v>868</v>
      </c>
      <c r="B908" s="107" t="s">
        <v>1214</v>
      </c>
      <c r="C908" s="71"/>
      <c r="D908" s="71" t="s">
        <v>869</v>
      </c>
      <c r="E908" s="108">
        <v>250000</v>
      </c>
      <c r="F908" s="109">
        <v>40408</v>
      </c>
      <c r="G908" s="109"/>
      <c r="H908" s="109">
        <v>40353</v>
      </c>
      <c r="I908" s="109"/>
      <c r="J908" s="71"/>
      <c r="K908" s="110"/>
    </row>
    <row r="909" spans="1:11">
      <c r="A909" s="71" t="s">
        <v>870</v>
      </c>
      <c r="B909" s="107" t="s">
        <v>2509</v>
      </c>
      <c r="C909" s="71"/>
      <c r="D909" s="71" t="s">
        <v>871</v>
      </c>
      <c r="E909" s="108">
        <v>1500000</v>
      </c>
      <c r="F909" s="109">
        <v>40407</v>
      </c>
      <c r="G909" s="109"/>
      <c r="H909" s="109">
        <v>40367</v>
      </c>
      <c r="I909" s="109"/>
      <c r="J909" s="71"/>
      <c r="K909" s="110"/>
    </row>
    <row r="910" spans="1:11" ht="22.5">
      <c r="A910" s="71" t="s">
        <v>872</v>
      </c>
      <c r="B910" s="107" t="s">
        <v>2543</v>
      </c>
      <c r="C910" s="71"/>
      <c r="D910" s="71" t="s">
        <v>873</v>
      </c>
      <c r="E910" s="108">
        <v>365000</v>
      </c>
      <c r="F910" s="109">
        <v>40436</v>
      </c>
      <c r="G910" s="109"/>
      <c r="H910" s="109">
        <v>40414</v>
      </c>
      <c r="I910" s="109"/>
      <c r="J910" s="71"/>
      <c r="K910" s="110"/>
    </row>
    <row r="911" spans="1:11">
      <c r="A911" s="71" t="s">
        <v>874</v>
      </c>
      <c r="B911" s="107" t="s">
        <v>747</v>
      </c>
      <c r="C911" s="71" t="s">
        <v>81</v>
      </c>
      <c r="D911" s="71" t="s">
        <v>875</v>
      </c>
      <c r="E911" s="108">
        <v>308799</v>
      </c>
      <c r="F911" s="109">
        <v>40415</v>
      </c>
      <c r="G911" s="109"/>
      <c r="H911" s="109">
        <v>40437</v>
      </c>
      <c r="I911" s="109">
        <v>40437</v>
      </c>
      <c r="J911" s="71"/>
      <c r="K911" s="110"/>
    </row>
    <row r="912" spans="1:11" ht="25.5">
      <c r="A912" s="71" t="s">
        <v>876</v>
      </c>
      <c r="B912" s="107" t="s">
        <v>877</v>
      </c>
      <c r="C912" s="71" t="s">
        <v>9</v>
      </c>
      <c r="D912" s="71" t="s">
        <v>878</v>
      </c>
      <c r="E912" s="108">
        <v>403690</v>
      </c>
      <c r="F912" s="109">
        <v>40395</v>
      </c>
      <c r="G912" s="109"/>
      <c r="H912" s="109">
        <v>40420</v>
      </c>
      <c r="I912" s="109">
        <v>40423</v>
      </c>
      <c r="J912" s="71"/>
      <c r="K912" s="110" t="s">
        <v>879</v>
      </c>
    </row>
    <row r="913" spans="1:11" ht="22.5">
      <c r="A913" s="71" t="s">
        <v>880</v>
      </c>
      <c r="B913" s="107" t="s">
        <v>2520</v>
      </c>
      <c r="C913" s="71" t="s">
        <v>881</v>
      </c>
      <c r="D913" s="71" t="s">
        <v>882</v>
      </c>
      <c r="E913" s="108"/>
      <c r="F913" s="109">
        <v>40409</v>
      </c>
      <c r="G913" s="109"/>
      <c r="H913" s="109">
        <v>40437</v>
      </c>
      <c r="I913" s="109"/>
      <c r="J913" s="71"/>
      <c r="K913" s="110"/>
    </row>
    <row r="914" spans="1:11">
      <c r="A914" s="71" t="s">
        <v>883</v>
      </c>
      <c r="B914" s="107" t="s">
        <v>434</v>
      </c>
      <c r="C914" s="71" t="s">
        <v>884</v>
      </c>
      <c r="D914" s="71" t="s">
        <v>885</v>
      </c>
      <c r="E914" s="108">
        <v>648900</v>
      </c>
      <c r="F914" s="109">
        <v>40317</v>
      </c>
      <c r="G914" s="109"/>
      <c r="H914" s="109">
        <v>40402</v>
      </c>
      <c r="I914" s="109"/>
      <c r="J914" s="71"/>
      <c r="K914" s="110"/>
    </row>
    <row r="915" spans="1:11">
      <c r="A915" s="71" t="s">
        <v>886</v>
      </c>
      <c r="B915" s="107" t="s">
        <v>2536</v>
      </c>
      <c r="C915" s="71"/>
      <c r="D915" s="71" t="s">
        <v>887</v>
      </c>
      <c r="E915" s="108">
        <v>175000</v>
      </c>
      <c r="F915" s="109">
        <v>40393</v>
      </c>
      <c r="G915" s="109"/>
      <c r="H915" s="109">
        <v>40417</v>
      </c>
      <c r="I915" s="109"/>
      <c r="J915" s="71"/>
      <c r="K915" s="110"/>
    </row>
    <row r="916" spans="1:11">
      <c r="A916" s="71" t="s">
        <v>888</v>
      </c>
      <c r="B916" s="107" t="s">
        <v>889</v>
      </c>
      <c r="C916" s="71"/>
      <c r="D916" s="71" t="s">
        <v>890</v>
      </c>
      <c r="E916" s="108">
        <v>350000</v>
      </c>
      <c r="F916" s="109">
        <v>40416</v>
      </c>
      <c r="G916" s="109"/>
      <c r="H916" s="109">
        <v>40338</v>
      </c>
      <c r="I916" s="109"/>
      <c r="J916" s="71"/>
      <c r="K916" s="110"/>
    </row>
    <row r="917" spans="1:11">
      <c r="A917" s="71" t="s">
        <v>891</v>
      </c>
      <c r="B917" s="107" t="s">
        <v>2516</v>
      </c>
      <c r="C917" s="71" t="s">
        <v>582</v>
      </c>
      <c r="D917" s="71" t="s">
        <v>892</v>
      </c>
      <c r="E917" s="108">
        <v>132775</v>
      </c>
      <c r="F917" s="109">
        <v>40407</v>
      </c>
      <c r="G917" s="109"/>
      <c r="H917" s="109">
        <v>40430</v>
      </c>
      <c r="I917" s="109">
        <v>40431</v>
      </c>
      <c r="J917" s="71"/>
      <c r="K917" s="110"/>
    </row>
    <row r="918" spans="1:11">
      <c r="A918" s="71" t="s">
        <v>893</v>
      </c>
      <c r="B918" s="107" t="s">
        <v>2507</v>
      </c>
      <c r="C918" s="71"/>
      <c r="D918" s="71" t="s">
        <v>894</v>
      </c>
      <c r="E918" s="108">
        <v>1000000</v>
      </c>
      <c r="F918" s="109">
        <v>40434</v>
      </c>
      <c r="G918" s="109"/>
      <c r="H918" s="109">
        <v>40451</v>
      </c>
      <c r="I918" s="109"/>
      <c r="J918" s="71"/>
      <c r="K918" s="110"/>
    </row>
    <row r="919" spans="1:11">
      <c r="A919" s="71" t="s">
        <v>895</v>
      </c>
      <c r="B919" s="71" t="s">
        <v>2509</v>
      </c>
      <c r="C919" s="71"/>
      <c r="D919" s="71" t="s">
        <v>896</v>
      </c>
      <c r="E919" s="108">
        <v>270000</v>
      </c>
      <c r="F919" s="109">
        <v>40400</v>
      </c>
      <c r="G919" s="109"/>
      <c r="H919" s="109">
        <v>40437</v>
      </c>
      <c r="I919" s="109"/>
      <c r="J919" s="71"/>
      <c r="K919" s="110"/>
    </row>
    <row r="920" spans="1:11" ht="22.5">
      <c r="A920" s="71" t="s">
        <v>897</v>
      </c>
      <c r="B920" s="107" t="s">
        <v>898</v>
      </c>
      <c r="C920" s="71"/>
      <c r="D920" s="71" t="s">
        <v>899</v>
      </c>
      <c r="E920" s="108">
        <v>1557505</v>
      </c>
      <c r="F920" s="109">
        <v>40423</v>
      </c>
      <c r="G920" s="109"/>
      <c r="H920" s="109">
        <v>40465</v>
      </c>
      <c r="I920" s="109"/>
      <c r="J920" s="71"/>
      <c r="K920" s="110"/>
    </row>
    <row r="921" spans="1:11" ht="22.5">
      <c r="A921" s="71" t="s">
        <v>900</v>
      </c>
      <c r="B921" s="107" t="s">
        <v>2524</v>
      </c>
      <c r="C921" s="71"/>
      <c r="D921" s="71" t="s">
        <v>901</v>
      </c>
      <c r="E921" s="108">
        <v>300000</v>
      </c>
      <c r="F921" s="109">
        <v>40403</v>
      </c>
      <c r="G921" s="109"/>
      <c r="H921" s="109">
        <v>40420</v>
      </c>
      <c r="I921" s="109"/>
      <c r="J921" s="71"/>
      <c r="K921" s="110"/>
    </row>
    <row r="922" spans="1:11">
      <c r="A922" s="71" t="s">
        <v>902</v>
      </c>
      <c r="B922" s="107" t="s">
        <v>1068</v>
      </c>
      <c r="C922" s="71" t="s">
        <v>2518</v>
      </c>
      <c r="D922" s="71" t="s">
        <v>903</v>
      </c>
      <c r="E922" s="108"/>
      <c r="F922" s="109">
        <v>40424</v>
      </c>
      <c r="G922" s="109"/>
      <c r="H922" s="109">
        <v>40431</v>
      </c>
      <c r="I922" s="109"/>
      <c r="J922" s="71"/>
      <c r="K922" s="110"/>
    </row>
    <row r="923" spans="1:11" ht="22.5">
      <c r="A923" s="71" t="s">
        <v>904</v>
      </c>
      <c r="B923" s="107" t="s">
        <v>2509</v>
      </c>
      <c r="C923" s="71" t="s">
        <v>905</v>
      </c>
      <c r="D923" s="71" t="s">
        <v>906</v>
      </c>
      <c r="E923" s="108">
        <v>351484</v>
      </c>
      <c r="F923" s="109">
        <v>40408</v>
      </c>
      <c r="G923" s="109"/>
      <c r="H923" s="109">
        <v>40416</v>
      </c>
      <c r="I923" s="109">
        <v>40420</v>
      </c>
      <c r="J923" s="71"/>
      <c r="K923" s="110"/>
    </row>
    <row r="924" spans="1:11">
      <c r="A924" s="71" t="s">
        <v>907</v>
      </c>
      <c r="B924" s="107" t="s">
        <v>2509</v>
      </c>
      <c r="C924" s="71" t="s">
        <v>908</v>
      </c>
      <c r="D924" s="71" t="s">
        <v>909</v>
      </c>
      <c r="E924" s="108">
        <v>395995</v>
      </c>
      <c r="F924" s="109">
        <v>40416</v>
      </c>
      <c r="G924" s="109"/>
      <c r="H924" s="109">
        <v>40420</v>
      </c>
      <c r="I924" s="109"/>
      <c r="J924" s="71"/>
      <c r="K924" s="110"/>
    </row>
    <row r="925" spans="1:11">
      <c r="A925" s="71" t="s">
        <v>910</v>
      </c>
      <c r="B925" s="107" t="s">
        <v>2524</v>
      </c>
      <c r="C925" s="71"/>
      <c r="D925" s="71" t="s">
        <v>911</v>
      </c>
      <c r="E925" s="108">
        <v>2600000</v>
      </c>
      <c r="F925" s="109">
        <v>40444</v>
      </c>
      <c r="G925" s="109"/>
      <c r="H925" s="109">
        <v>40434</v>
      </c>
      <c r="I925" s="109"/>
      <c r="J925" s="71"/>
      <c r="K925" s="110" t="s">
        <v>2877</v>
      </c>
    </row>
    <row r="926" spans="1:11">
      <c r="A926" s="71" t="s">
        <v>912</v>
      </c>
      <c r="B926" s="107" t="s">
        <v>2509</v>
      </c>
      <c r="C926" s="71"/>
      <c r="D926" s="71" t="s">
        <v>913</v>
      </c>
      <c r="E926" s="108">
        <v>175000</v>
      </c>
      <c r="F926" s="109">
        <v>40407</v>
      </c>
      <c r="G926" s="109"/>
      <c r="H926" s="109">
        <v>40441</v>
      </c>
      <c r="I926" s="109"/>
      <c r="J926" s="71"/>
      <c r="K926" s="110"/>
    </row>
    <row r="927" spans="1:11">
      <c r="A927" s="71" t="s">
        <v>914</v>
      </c>
      <c r="B927" s="107" t="s">
        <v>2516</v>
      </c>
      <c r="C927" s="71" t="s">
        <v>1511</v>
      </c>
      <c r="D927" s="71" t="s">
        <v>915</v>
      </c>
      <c r="E927" s="108">
        <v>721597.5</v>
      </c>
      <c r="F927" s="109">
        <v>40407</v>
      </c>
      <c r="G927" s="109"/>
      <c r="H927" s="109">
        <v>40414</v>
      </c>
      <c r="I927" s="109">
        <v>40414</v>
      </c>
      <c r="J927" s="71"/>
      <c r="K927" s="110"/>
    </row>
    <row r="928" spans="1:11">
      <c r="A928" s="71" t="s">
        <v>916</v>
      </c>
      <c r="B928" s="107" t="s">
        <v>917</v>
      </c>
      <c r="C928" s="71" t="s">
        <v>1482</v>
      </c>
      <c r="D928" s="71" t="s">
        <v>918</v>
      </c>
      <c r="E928" s="108">
        <v>258530</v>
      </c>
      <c r="F928" s="109" t="s">
        <v>637</v>
      </c>
      <c r="G928" s="109"/>
      <c r="H928" s="109">
        <v>40438</v>
      </c>
      <c r="I928" s="109"/>
      <c r="J928" s="71"/>
      <c r="K928" s="110"/>
    </row>
    <row r="929" spans="1:11" ht="22.5">
      <c r="A929" s="71" t="s">
        <v>919</v>
      </c>
      <c r="B929" s="107" t="s">
        <v>2509</v>
      </c>
      <c r="C929" s="71" t="s">
        <v>920</v>
      </c>
      <c r="D929" s="71" t="s">
        <v>921</v>
      </c>
      <c r="E929" s="108"/>
      <c r="F929" s="109">
        <v>40396</v>
      </c>
      <c r="G929" s="109"/>
      <c r="H929" s="109">
        <v>40413</v>
      </c>
      <c r="I929" s="109">
        <v>40413</v>
      </c>
      <c r="J929" s="71"/>
      <c r="K929" s="110"/>
    </row>
    <row r="930" spans="1:11" ht="22.5">
      <c r="A930" s="71" t="s">
        <v>922</v>
      </c>
      <c r="B930" s="107" t="s">
        <v>2509</v>
      </c>
      <c r="C930" s="71" t="s">
        <v>288</v>
      </c>
      <c r="D930" s="71" t="s">
        <v>923</v>
      </c>
      <c r="E930" s="108">
        <v>262826</v>
      </c>
      <c r="F930" s="109">
        <v>40416</v>
      </c>
      <c r="G930" s="109"/>
      <c r="H930" s="109">
        <v>40417</v>
      </c>
      <c r="I930" s="109">
        <v>40421</v>
      </c>
      <c r="J930" s="71"/>
      <c r="K930" s="110"/>
    </row>
    <row r="931" spans="1:11">
      <c r="A931" s="71" t="s">
        <v>924</v>
      </c>
      <c r="B931" s="107" t="s">
        <v>1068</v>
      </c>
      <c r="C931" s="71"/>
      <c r="D931" s="71" t="s">
        <v>925</v>
      </c>
      <c r="E931" s="108">
        <v>450000</v>
      </c>
      <c r="F931" s="109">
        <v>40362</v>
      </c>
      <c r="G931" s="109"/>
      <c r="H931" s="109"/>
      <c r="I931" s="109"/>
      <c r="J931" s="71"/>
      <c r="K931" s="110"/>
    </row>
    <row r="932" spans="1:11">
      <c r="A932" s="71" t="s">
        <v>926</v>
      </c>
      <c r="B932" s="107" t="s">
        <v>2520</v>
      </c>
      <c r="C932" s="71" t="s">
        <v>148</v>
      </c>
      <c r="D932" s="71" t="s">
        <v>927</v>
      </c>
      <c r="E932" s="108">
        <v>273700</v>
      </c>
      <c r="F932" s="109">
        <v>40421</v>
      </c>
      <c r="G932" s="109"/>
      <c r="H932" s="109">
        <v>40430</v>
      </c>
      <c r="I932" s="109">
        <v>40430</v>
      </c>
      <c r="J932" s="71"/>
      <c r="K932" s="110"/>
    </row>
    <row r="933" spans="1:11">
      <c r="A933" s="71" t="s">
        <v>928</v>
      </c>
      <c r="B933" s="107" t="s">
        <v>2520</v>
      </c>
      <c r="C933" s="71" t="s">
        <v>148</v>
      </c>
      <c r="D933" s="71" t="s">
        <v>927</v>
      </c>
      <c r="E933" s="108">
        <v>276550</v>
      </c>
      <c r="F933" s="109">
        <v>40421</v>
      </c>
      <c r="G933" s="109"/>
      <c r="H933" s="109">
        <v>40430</v>
      </c>
      <c r="I933" s="109">
        <v>40430</v>
      </c>
      <c r="J933" s="71"/>
      <c r="K933" s="110"/>
    </row>
    <row r="934" spans="1:11">
      <c r="A934" s="71" t="s">
        <v>929</v>
      </c>
      <c r="B934" s="107" t="s">
        <v>2520</v>
      </c>
      <c r="C934" s="71" t="s">
        <v>148</v>
      </c>
      <c r="D934" s="71" t="s">
        <v>927</v>
      </c>
      <c r="E934" s="108">
        <v>278450</v>
      </c>
      <c r="F934" s="109">
        <v>40421</v>
      </c>
      <c r="G934" s="109"/>
      <c r="H934" s="109">
        <v>40430</v>
      </c>
      <c r="I934" s="109">
        <v>40430</v>
      </c>
      <c r="J934" s="71"/>
      <c r="K934" s="110"/>
    </row>
    <row r="935" spans="1:11">
      <c r="A935" s="71" t="s">
        <v>930</v>
      </c>
      <c r="B935" s="107" t="s">
        <v>2524</v>
      </c>
      <c r="C935" s="71"/>
      <c r="D935" s="71" t="s">
        <v>931</v>
      </c>
      <c r="E935" s="108">
        <v>180000</v>
      </c>
      <c r="F935" s="109">
        <v>40406</v>
      </c>
      <c r="G935" s="109"/>
      <c r="H935" s="109">
        <v>40424</v>
      </c>
      <c r="I935" s="109"/>
      <c r="J935" s="71"/>
      <c r="K935" s="110"/>
    </row>
    <row r="936" spans="1:11">
      <c r="A936" s="71" t="s">
        <v>932</v>
      </c>
      <c r="B936" s="107" t="s">
        <v>59</v>
      </c>
      <c r="C936" s="71"/>
      <c r="D936" s="71" t="s">
        <v>933</v>
      </c>
      <c r="E936" s="108">
        <v>225000</v>
      </c>
      <c r="F936" s="109">
        <v>40438</v>
      </c>
      <c r="G936" s="109"/>
      <c r="H936" s="109">
        <v>40424</v>
      </c>
      <c r="I936" s="109"/>
      <c r="J936" s="71"/>
      <c r="K936" s="110"/>
    </row>
    <row r="937" spans="1:11">
      <c r="A937" s="71" t="s">
        <v>934</v>
      </c>
      <c r="B937" s="107" t="s">
        <v>59</v>
      </c>
      <c r="C937" s="71"/>
      <c r="D937" s="71" t="s">
        <v>935</v>
      </c>
      <c r="E937" s="108">
        <v>500000</v>
      </c>
      <c r="F937" s="109">
        <v>40438</v>
      </c>
      <c r="G937" s="109"/>
      <c r="H937" s="109">
        <v>40437</v>
      </c>
      <c r="I937" s="109"/>
      <c r="J937" s="71"/>
      <c r="K937" s="110"/>
    </row>
    <row r="938" spans="1:11" ht="22.5">
      <c r="A938" s="71" t="s">
        <v>936</v>
      </c>
      <c r="B938" s="107" t="s">
        <v>937</v>
      </c>
      <c r="C938" s="71"/>
      <c r="D938" s="71" t="s">
        <v>938</v>
      </c>
      <c r="E938" s="108">
        <v>120000</v>
      </c>
      <c r="F938" s="109">
        <v>40438</v>
      </c>
      <c r="G938" s="109"/>
      <c r="H938" s="109">
        <v>40468</v>
      </c>
      <c r="I938" s="109"/>
      <c r="J938" s="71"/>
      <c r="K938" s="110"/>
    </row>
    <row r="939" spans="1:11" ht="22.5">
      <c r="A939" s="71" t="s">
        <v>939</v>
      </c>
      <c r="B939" s="107" t="s">
        <v>2509</v>
      </c>
      <c r="C939" s="71" t="s">
        <v>940</v>
      </c>
      <c r="D939" s="71" t="s">
        <v>941</v>
      </c>
      <c r="E939" s="108">
        <v>1811246</v>
      </c>
      <c r="F939" s="109">
        <v>40437</v>
      </c>
      <c r="G939" s="109"/>
      <c r="H939" s="109">
        <v>40442</v>
      </c>
      <c r="I939" s="109">
        <v>40443</v>
      </c>
      <c r="J939" s="71"/>
      <c r="K939" s="110"/>
    </row>
    <row r="940" spans="1:11">
      <c r="A940" s="71" t="s">
        <v>942</v>
      </c>
      <c r="B940" s="107" t="s">
        <v>2542</v>
      </c>
      <c r="C940" s="71" t="s">
        <v>1125</v>
      </c>
      <c r="D940" s="71" t="s">
        <v>943</v>
      </c>
      <c r="E940" s="108">
        <v>228952.3</v>
      </c>
      <c r="F940" s="109">
        <v>40421</v>
      </c>
      <c r="G940" s="109"/>
      <c r="H940" s="109">
        <v>40437</v>
      </c>
      <c r="I940" s="109">
        <v>40437</v>
      </c>
      <c r="J940" s="71"/>
      <c r="K940" s="110"/>
    </row>
    <row r="941" spans="1:11">
      <c r="A941" s="71" t="s">
        <v>944</v>
      </c>
      <c r="B941" s="107" t="s">
        <v>2520</v>
      </c>
      <c r="C941" s="71" t="s">
        <v>148</v>
      </c>
      <c r="D941" s="71" t="s">
        <v>945</v>
      </c>
      <c r="E941" s="108">
        <v>296650</v>
      </c>
      <c r="F941" s="109">
        <v>40423</v>
      </c>
      <c r="G941" s="109"/>
      <c r="H941" s="109">
        <v>40434</v>
      </c>
      <c r="I941" s="109">
        <v>40434</v>
      </c>
      <c r="J941" s="71"/>
      <c r="K941" s="110"/>
    </row>
    <row r="942" spans="1:11">
      <c r="A942" s="71" t="s">
        <v>946</v>
      </c>
      <c r="B942" s="107" t="s">
        <v>2520</v>
      </c>
      <c r="C942" s="71" t="s">
        <v>148</v>
      </c>
      <c r="D942" s="71" t="s">
        <v>947</v>
      </c>
      <c r="E942" s="108">
        <v>298650</v>
      </c>
      <c r="F942" s="109">
        <v>40423</v>
      </c>
      <c r="G942" s="109"/>
      <c r="H942" s="109">
        <v>40434</v>
      </c>
      <c r="I942" s="109">
        <v>40434</v>
      </c>
      <c r="J942" s="71"/>
      <c r="K942" s="110"/>
    </row>
    <row r="943" spans="1:11">
      <c r="A943" s="71" t="s">
        <v>948</v>
      </c>
      <c r="B943" s="107" t="s">
        <v>1124</v>
      </c>
      <c r="C943" s="71"/>
      <c r="D943" s="71" t="s">
        <v>949</v>
      </c>
      <c r="E943" s="108">
        <v>175000</v>
      </c>
      <c r="F943" s="109">
        <v>40424</v>
      </c>
      <c r="G943" s="109"/>
      <c r="H943" s="109">
        <v>40428</v>
      </c>
      <c r="I943" s="109"/>
      <c r="J943" s="71"/>
      <c r="K943" s="110"/>
    </row>
    <row r="944" spans="1:11">
      <c r="A944" s="71" t="s">
        <v>950</v>
      </c>
      <c r="B944" s="107" t="s">
        <v>2543</v>
      </c>
      <c r="C944" s="71"/>
      <c r="D944" s="71" t="s">
        <v>951</v>
      </c>
      <c r="E944" s="108">
        <v>354100</v>
      </c>
      <c r="F944" s="109">
        <v>40443</v>
      </c>
      <c r="G944" s="109"/>
      <c r="H944" s="109">
        <v>40476</v>
      </c>
      <c r="I944" s="109"/>
      <c r="J944" s="71"/>
      <c r="K944" s="110"/>
    </row>
    <row r="945" spans="1:11" ht="22.5">
      <c r="A945" s="71" t="s">
        <v>952</v>
      </c>
      <c r="B945" s="107" t="s">
        <v>2509</v>
      </c>
      <c r="C945" s="71" t="s">
        <v>953</v>
      </c>
      <c r="D945" s="71" t="s">
        <v>954</v>
      </c>
      <c r="E945" s="108">
        <v>288239</v>
      </c>
      <c r="F945" s="109">
        <v>40431</v>
      </c>
      <c r="G945" s="109"/>
      <c r="H945" s="109">
        <v>40435</v>
      </c>
      <c r="I945" s="109">
        <v>40435</v>
      </c>
      <c r="J945" s="71"/>
      <c r="K945" s="110"/>
    </row>
    <row r="946" spans="1:11">
      <c r="A946" s="71" t="s">
        <v>955</v>
      </c>
      <c r="B946" s="107" t="s">
        <v>1068</v>
      </c>
      <c r="C946" s="71"/>
      <c r="D946" s="71" t="s">
        <v>903</v>
      </c>
      <c r="E946" s="108">
        <v>130000</v>
      </c>
      <c r="F946" s="109">
        <v>40424</v>
      </c>
      <c r="G946" s="109"/>
      <c r="H946" s="109">
        <v>40435</v>
      </c>
      <c r="I946" s="109"/>
      <c r="J946" s="71"/>
      <c r="K946" s="110"/>
    </row>
    <row r="947" spans="1:11" ht="22.5">
      <c r="A947" s="71" t="s">
        <v>956</v>
      </c>
      <c r="B947" s="107" t="s">
        <v>957</v>
      </c>
      <c r="C947" s="71"/>
      <c r="D947" s="71" t="s">
        <v>958</v>
      </c>
      <c r="E947" s="108">
        <v>785501</v>
      </c>
      <c r="F947" s="109">
        <v>40437</v>
      </c>
      <c r="G947" s="109"/>
      <c r="H947" s="109">
        <v>40463</v>
      </c>
      <c r="I947" s="109"/>
      <c r="J947" s="71"/>
      <c r="K947" s="110" t="s">
        <v>2877</v>
      </c>
    </row>
    <row r="948" spans="1:11" ht="22.5">
      <c r="A948" s="71" t="s">
        <v>959</v>
      </c>
      <c r="B948" s="107" t="s">
        <v>957</v>
      </c>
      <c r="C948" s="71"/>
      <c r="D948" s="71" t="s">
        <v>960</v>
      </c>
      <c r="E948" s="108">
        <v>398102</v>
      </c>
      <c r="F948" s="109">
        <v>40437</v>
      </c>
      <c r="G948" s="109"/>
      <c r="H948" s="109">
        <v>40463</v>
      </c>
      <c r="I948" s="109"/>
      <c r="J948" s="71"/>
      <c r="K948" s="110"/>
    </row>
    <row r="949" spans="1:11" ht="22.5">
      <c r="A949" s="71" t="s">
        <v>961</v>
      </c>
      <c r="B949" s="107" t="s">
        <v>957</v>
      </c>
      <c r="C949" s="71"/>
      <c r="D949" s="71" t="s">
        <v>962</v>
      </c>
      <c r="E949" s="108">
        <v>197200</v>
      </c>
      <c r="F949" s="109">
        <v>40437</v>
      </c>
      <c r="G949" s="109"/>
      <c r="H949" s="109">
        <v>40463</v>
      </c>
      <c r="I949" s="109"/>
      <c r="J949" s="71"/>
      <c r="K949" s="110"/>
    </row>
    <row r="950" spans="1:11">
      <c r="A950" s="71" t="s">
        <v>963</v>
      </c>
      <c r="B950" s="107" t="s">
        <v>964</v>
      </c>
      <c r="C950" s="71"/>
      <c r="D950" s="71" t="s">
        <v>965</v>
      </c>
      <c r="E950" s="108">
        <v>270000</v>
      </c>
      <c r="F950" s="109">
        <v>40451</v>
      </c>
      <c r="G950" s="109"/>
      <c r="H950" s="109">
        <v>40457</v>
      </c>
      <c r="I950" s="109"/>
      <c r="J950" s="71"/>
      <c r="K950" s="110"/>
    </row>
    <row r="951" spans="1:11">
      <c r="A951" s="71" t="s">
        <v>966</v>
      </c>
      <c r="B951" s="107" t="s">
        <v>2520</v>
      </c>
      <c r="C951" s="71"/>
      <c r="D951" s="71" t="s">
        <v>967</v>
      </c>
      <c r="E951" s="108">
        <v>220000</v>
      </c>
      <c r="F951" s="109">
        <v>40435</v>
      </c>
      <c r="G951" s="109"/>
      <c r="H951" s="109">
        <v>40473</v>
      </c>
      <c r="I951" s="109"/>
      <c r="J951" s="71"/>
      <c r="K951" s="110"/>
    </row>
    <row r="952" spans="1:11">
      <c r="A952" s="71" t="s">
        <v>968</v>
      </c>
      <c r="B952" s="107" t="s">
        <v>2520</v>
      </c>
      <c r="C952" s="71"/>
      <c r="D952" s="71" t="s">
        <v>969</v>
      </c>
      <c r="E952" s="108">
        <v>220000</v>
      </c>
      <c r="F952" s="109">
        <v>40435</v>
      </c>
      <c r="G952" s="109"/>
      <c r="H952" s="109">
        <v>40473</v>
      </c>
      <c r="I952" s="109"/>
      <c r="J952" s="71"/>
      <c r="K952" s="110"/>
    </row>
    <row r="953" spans="1:11">
      <c r="A953" s="71" t="s">
        <v>970</v>
      </c>
      <c r="B953" s="107" t="s">
        <v>2520</v>
      </c>
      <c r="C953" s="71"/>
      <c r="D953" s="71" t="s">
        <v>971</v>
      </c>
      <c r="E953" s="108">
        <v>220000</v>
      </c>
      <c r="F953" s="109">
        <v>40435</v>
      </c>
      <c r="G953" s="109"/>
      <c r="H953" s="109">
        <v>40473</v>
      </c>
      <c r="I953" s="109"/>
      <c r="J953" s="71"/>
      <c r="K953" s="110"/>
    </row>
    <row r="954" spans="1:11">
      <c r="A954" s="71" t="s">
        <v>972</v>
      </c>
      <c r="B954" s="107" t="s">
        <v>2509</v>
      </c>
      <c r="C954" s="71"/>
      <c r="D954" s="71" t="s">
        <v>973</v>
      </c>
      <c r="E954" s="108">
        <v>400000</v>
      </c>
      <c r="F954" s="109">
        <v>40450</v>
      </c>
      <c r="G954" s="109"/>
      <c r="H954" s="109">
        <v>40480</v>
      </c>
      <c r="I954" s="109"/>
      <c r="J954" s="71"/>
      <c r="K954" s="110"/>
    </row>
    <row r="955" spans="1:11">
      <c r="A955" s="71" t="s">
        <v>974</v>
      </c>
      <c r="B955" s="107" t="s">
        <v>1426</v>
      </c>
      <c r="C955" s="71"/>
      <c r="D955" s="71" t="s">
        <v>975</v>
      </c>
      <c r="E955" s="108">
        <v>500000</v>
      </c>
      <c r="F955" s="109">
        <v>40400</v>
      </c>
      <c r="G955" s="109"/>
      <c r="H955" s="109">
        <v>40400</v>
      </c>
      <c r="I955" s="109"/>
      <c r="J955" s="71"/>
      <c r="K955" s="110"/>
    </row>
    <row r="956" spans="1:11">
      <c r="A956" s="71" t="s">
        <v>976</v>
      </c>
      <c r="B956" s="107" t="s">
        <v>63</v>
      </c>
      <c r="C956" s="71"/>
      <c r="D956" s="71" t="s">
        <v>977</v>
      </c>
      <c r="E956" s="108">
        <v>100000</v>
      </c>
      <c r="F956" s="109">
        <v>40449</v>
      </c>
      <c r="G956" s="109"/>
      <c r="H956" s="109">
        <v>40490</v>
      </c>
      <c r="I956" s="109"/>
      <c r="J956" s="71"/>
      <c r="K956" s="110"/>
    </row>
    <row r="957" spans="1:11" ht="22.5">
      <c r="A957" s="71" t="s">
        <v>978</v>
      </c>
      <c r="B957" s="107" t="s">
        <v>1218</v>
      </c>
      <c r="C957" s="71"/>
      <c r="D957" s="71" t="s">
        <v>979</v>
      </c>
      <c r="E957" s="108">
        <v>528000</v>
      </c>
      <c r="F957" s="109">
        <v>40445</v>
      </c>
      <c r="G957" s="109"/>
      <c r="H957" s="109">
        <v>40450</v>
      </c>
      <c r="I957" s="109"/>
      <c r="J957" s="71"/>
      <c r="K957" s="110"/>
    </row>
    <row r="958" spans="1:11">
      <c r="A958" s="71" t="s">
        <v>980</v>
      </c>
      <c r="B958" s="107" t="s">
        <v>981</v>
      </c>
      <c r="C958" s="71"/>
      <c r="D958" s="71" t="s">
        <v>982</v>
      </c>
      <c r="E958" s="108">
        <v>320000</v>
      </c>
      <c r="F958" s="109">
        <v>40481</v>
      </c>
      <c r="G958" s="109"/>
      <c r="H958" s="109"/>
      <c r="I958" s="109"/>
      <c r="J958" s="71"/>
      <c r="K958" s="110"/>
    </row>
    <row r="959" spans="1:11">
      <c r="A959" s="71" t="s">
        <v>983</v>
      </c>
      <c r="B959" s="107" t="s">
        <v>2509</v>
      </c>
      <c r="C959" s="71" t="s">
        <v>2518</v>
      </c>
      <c r="D959" s="71" t="s">
        <v>984</v>
      </c>
      <c r="E959" s="108"/>
      <c r="F959" s="109">
        <v>40441</v>
      </c>
      <c r="G959" s="109"/>
      <c r="H959" s="109">
        <v>40471</v>
      </c>
      <c r="I959" s="109"/>
      <c r="J959" s="71"/>
      <c r="K959" s="110"/>
    </row>
    <row r="960" spans="1:11" ht="22.5">
      <c r="A960" s="71" t="s">
        <v>985</v>
      </c>
      <c r="B960" s="107" t="s">
        <v>986</v>
      </c>
      <c r="C960" s="71" t="s">
        <v>2518</v>
      </c>
      <c r="D960" s="71" t="s">
        <v>987</v>
      </c>
      <c r="E960" s="108"/>
      <c r="F960" s="109">
        <v>40449</v>
      </c>
      <c r="G960" s="109"/>
      <c r="H960" s="109">
        <v>40449</v>
      </c>
      <c r="I960" s="109"/>
      <c r="J960" s="71"/>
      <c r="K960" s="110" t="s">
        <v>155</v>
      </c>
    </row>
    <row r="961" spans="1:11">
      <c r="A961" s="71" t="s">
        <v>988</v>
      </c>
      <c r="B961" s="107" t="s">
        <v>2520</v>
      </c>
      <c r="C961" s="71"/>
      <c r="D961" s="71" t="s">
        <v>989</v>
      </c>
      <c r="E961" s="108">
        <v>1500000</v>
      </c>
      <c r="F961" s="109">
        <v>40437</v>
      </c>
      <c r="G961" s="109"/>
      <c r="H961" s="109"/>
      <c r="I961" s="109"/>
      <c r="J961" s="71"/>
      <c r="K961" s="110"/>
    </row>
    <row r="962" spans="1:11">
      <c r="A962" s="17" t="s">
        <v>2496</v>
      </c>
      <c r="B962" s="107"/>
      <c r="C962" s="71"/>
      <c r="D962" s="71"/>
      <c r="E962" s="112">
        <f>SUM(E450:E961)</f>
        <v>560677441.88000011</v>
      </c>
      <c r="F962" s="109"/>
      <c r="G962" s="109"/>
      <c r="H962" s="109"/>
      <c r="I962" s="109"/>
      <c r="J962" s="71"/>
      <c r="K962" s="110"/>
    </row>
    <row r="963" spans="1:11">
      <c r="A963" s="71"/>
      <c r="B963" s="107"/>
      <c r="C963" s="71"/>
      <c r="D963" s="71"/>
      <c r="E963" s="108"/>
      <c r="F963" s="109"/>
      <c r="G963" s="109"/>
      <c r="H963" s="109"/>
      <c r="I963" s="109"/>
      <c r="J963" s="71"/>
      <c r="K963" s="110"/>
    </row>
    <row r="964" spans="1:11">
      <c r="A964" s="71"/>
      <c r="B964" s="107"/>
      <c r="C964" s="71"/>
      <c r="D964" s="71"/>
      <c r="E964" s="108"/>
      <c r="F964" s="109"/>
      <c r="G964" s="109"/>
      <c r="H964" s="109"/>
      <c r="I964" s="109"/>
      <c r="J964" s="71"/>
      <c r="K964" s="110"/>
    </row>
    <row r="965" spans="1:11">
      <c r="A965" s="17" t="s">
        <v>990</v>
      </c>
      <c r="B965" s="107"/>
      <c r="D965" s="71"/>
      <c r="E965" s="108"/>
      <c r="F965" s="109"/>
      <c r="G965" s="109"/>
      <c r="H965" s="109"/>
      <c r="I965" s="109"/>
      <c r="J965" s="71"/>
      <c r="K965" s="110"/>
    </row>
    <row r="966" spans="1:11">
      <c r="A966" s="71" t="s">
        <v>991</v>
      </c>
      <c r="B966" s="107" t="s">
        <v>1426</v>
      </c>
      <c r="C966" s="71"/>
      <c r="D966" s="71" t="s">
        <v>992</v>
      </c>
      <c r="E966" s="108">
        <v>700000</v>
      </c>
      <c r="F966" s="109">
        <v>40544</v>
      </c>
      <c r="G966" s="109"/>
      <c r="H966" s="109"/>
      <c r="I966" s="109"/>
      <c r="J966" s="71"/>
      <c r="K966" s="110" t="s">
        <v>2877</v>
      </c>
    </row>
    <row r="967" spans="1:11" ht="22.5">
      <c r="A967" s="71" t="s">
        <v>993</v>
      </c>
      <c r="B967" s="107" t="s">
        <v>994</v>
      </c>
      <c r="C967" s="71"/>
      <c r="D967" s="71" t="s">
        <v>995</v>
      </c>
      <c r="E967" s="108">
        <v>92500</v>
      </c>
      <c r="F967" s="109">
        <v>40483</v>
      </c>
      <c r="G967" s="109"/>
      <c r="H967" s="109"/>
      <c r="I967" s="109"/>
      <c r="J967" s="71"/>
      <c r="K967" s="110"/>
    </row>
    <row r="968" spans="1:11">
      <c r="A968" s="71" t="s">
        <v>996</v>
      </c>
      <c r="B968" s="107" t="s">
        <v>2524</v>
      </c>
      <c r="C968" s="71"/>
      <c r="D968" s="71" t="s">
        <v>997</v>
      </c>
      <c r="E968" s="108">
        <v>100000</v>
      </c>
      <c r="F968" s="109">
        <v>40458</v>
      </c>
      <c r="G968" s="109"/>
      <c r="H968" s="109"/>
      <c r="I968" s="109"/>
      <c r="J968" s="71"/>
      <c r="K968" s="110"/>
    </row>
    <row r="969" spans="1:11">
      <c r="A969" s="71" t="s">
        <v>998</v>
      </c>
      <c r="B969" s="107" t="s">
        <v>1063</v>
      </c>
      <c r="C969" s="71"/>
      <c r="D969" s="71" t="s">
        <v>999</v>
      </c>
      <c r="E969" s="108">
        <v>1500000</v>
      </c>
      <c r="F969" s="109">
        <v>40559</v>
      </c>
      <c r="G969" s="109"/>
      <c r="H969" s="109">
        <v>40848</v>
      </c>
      <c r="I969" s="109"/>
      <c r="J969" s="71"/>
      <c r="K969" s="110"/>
    </row>
    <row r="970" spans="1:11" ht="22.5">
      <c r="A970" s="71" t="s">
        <v>1000</v>
      </c>
      <c r="B970" s="107" t="s">
        <v>27</v>
      </c>
      <c r="C970" s="71"/>
      <c r="D970" s="71" t="s">
        <v>1001</v>
      </c>
      <c r="E970" s="108">
        <v>2200000</v>
      </c>
      <c r="F970" s="109">
        <v>40463</v>
      </c>
      <c r="G970" s="109"/>
      <c r="H970" s="109">
        <v>40485</v>
      </c>
      <c r="I970" s="109"/>
      <c r="J970" s="71"/>
      <c r="K970" s="110"/>
    </row>
    <row r="971" spans="1:11">
      <c r="A971" s="71" t="s">
        <v>1002</v>
      </c>
      <c r="B971" s="107" t="s">
        <v>1110</v>
      </c>
      <c r="C971" s="71"/>
      <c r="D971" s="71" t="s">
        <v>1003</v>
      </c>
      <c r="E971" s="108">
        <v>1600000</v>
      </c>
      <c r="F971" s="109">
        <v>40471</v>
      </c>
      <c r="G971" s="109"/>
      <c r="H971" s="109">
        <v>40515</v>
      </c>
      <c r="I971" s="109"/>
      <c r="J971" s="71"/>
      <c r="K971" s="110"/>
    </row>
    <row r="972" spans="1:11">
      <c r="A972" s="71" t="s">
        <v>1004</v>
      </c>
      <c r="B972" s="107" t="s">
        <v>2507</v>
      </c>
      <c r="C972" s="71"/>
      <c r="D972" s="71" t="s">
        <v>1005</v>
      </c>
      <c r="E972" s="108">
        <v>4800000</v>
      </c>
      <c r="F972" s="109">
        <v>40544</v>
      </c>
      <c r="G972" s="109"/>
      <c r="H972" s="109">
        <v>40575</v>
      </c>
      <c r="I972" s="109"/>
      <c r="J972" s="71"/>
      <c r="K972" s="110"/>
    </row>
    <row r="973" spans="1:11">
      <c r="A973" s="71" t="s">
        <v>1006</v>
      </c>
      <c r="B973" s="107" t="s">
        <v>2507</v>
      </c>
      <c r="C973" s="71"/>
      <c r="D973" s="71" t="s">
        <v>1007</v>
      </c>
      <c r="E973" s="108">
        <v>4000000</v>
      </c>
      <c r="F973" s="109">
        <v>40544</v>
      </c>
      <c r="G973" s="109"/>
      <c r="H973" s="109">
        <v>40575</v>
      </c>
      <c r="I973" s="109"/>
      <c r="J973" s="71"/>
      <c r="K973" s="110"/>
    </row>
    <row r="974" spans="1:11">
      <c r="A974" s="71" t="s">
        <v>1008</v>
      </c>
      <c r="B974" s="107" t="s">
        <v>2507</v>
      </c>
      <c r="C974" s="71"/>
      <c r="D974" s="71" t="s">
        <v>1009</v>
      </c>
      <c r="E974" s="108">
        <v>5000000</v>
      </c>
      <c r="F974" s="109">
        <v>40544</v>
      </c>
      <c r="G974" s="109"/>
      <c r="H974" s="109">
        <v>40575</v>
      </c>
      <c r="I974" s="109"/>
      <c r="J974" s="71"/>
      <c r="K974" s="110"/>
    </row>
    <row r="975" spans="1:11">
      <c r="A975" s="71" t="s">
        <v>1010</v>
      </c>
      <c r="B975" s="107" t="s">
        <v>2507</v>
      </c>
      <c r="C975" s="71"/>
      <c r="D975" s="71" t="s">
        <v>1011</v>
      </c>
      <c r="E975" s="108"/>
      <c r="F975" s="109"/>
      <c r="G975" s="109"/>
      <c r="H975" s="109">
        <v>40509</v>
      </c>
      <c r="I975" s="109"/>
      <c r="J975" s="71"/>
      <c r="K975" s="110"/>
    </row>
    <row r="976" spans="1:11">
      <c r="A976" s="71" t="s">
        <v>1383</v>
      </c>
      <c r="B976" s="107" t="s">
        <v>1012</v>
      </c>
      <c r="C976" s="71" t="s">
        <v>2518</v>
      </c>
      <c r="D976" s="71" t="s">
        <v>1013</v>
      </c>
      <c r="E976" s="108"/>
      <c r="F976" s="109">
        <v>40483</v>
      </c>
      <c r="G976" s="109"/>
      <c r="H976" s="109">
        <v>40513</v>
      </c>
      <c r="I976" s="109"/>
      <c r="J976" s="71"/>
      <c r="K976" s="110"/>
    </row>
    <row r="977" spans="1:11">
      <c r="A977" s="71" t="s">
        <v>1014</v>
      </c>
      <c r="B977" s="107" t="s">
        <v>1131</v>
      </c>
      <c r="C977" s="71"/>
      <c r="D977" s="71" t="s">
        <v>318</v>
      </c>
      <c r="E977" s="108"/>
      <c r="F977" s="109">
        <v>40275</v>
      </c>
      <c r="G977" s="109"/>
      <c r="H977" s="109">
        <v>40295</v>
      </c>
      <c r="I977" s="109"/>
      <c r="J977" s="71"/>
      <c r="K977" s="110"/>
    </row>
    <row r="978" spans="1:11">
      <c r="A978" s="71" t="s">
        <v>1015</v>
      </c>
      <c r="B978" s="107" t="s">
        <v>2525</v>
      </c>
      <c r="C978" s="71"/>
      <c r="D978" s="71" t="s">
        <v>1016</v>
      </c>
      <c r="E978" s="108">
        <v>2300000</v>
      </c>
      <c r="F978" s="109">
        <v>40458</v>
      </c>
      <c r="G978" s="109"/>
      <c r="H978" s="109">
        <v>40471</v>
      </c>
      <c r="I978" s="109"/>
      <c r="J978" s="71"/>
      <c r="K978" s="110" t="s">
        <v>1017</v>
      </c>
    </row>
    <row r="979" spans="1:11">
      <c r="A979" s="71" t="s">
        <v>1018</v>
      </c>
      <c r="B979" s="107" t="s">
        <v>747</v>
      </c>
      <c r="C979" s="71"/>
      <c r="D979" s="71" t="s">
        <v>1019</v>
      </c>
      <c r="E979" s="108">
        <v>2900000</v>
      </c>
      <c r="F979" s="109">
        <v>40470</v>
      </c>
      <c r="G979" s="109"/>
      <c r="H979" s="109">
        <v>40486</v>
      </c>
      <c r="I979" s="109"/>
      <c r="J979" s="71"/>
      <c r="K979" s="110"/>
    </row>
    <row r="980" spans="1:11" ht="25.5">
      <c r="A980" s="71" t="s">
        <v>1020</v>
      </c>
      <c r="B980" s="107" t="s">
        <v>1301</v>
      </c>
      <c r="C980" s="71"/>
      <c r="D980" s="71" t="s">
        <v>794</v>
      </c>
      <c r="E980" s="108">
        <v>4000000</v>
      </c>
      <c r="F980" s="109">
        <v>40471</v>
      </c>
      <c r="G980" s="109"/>
      <c r="H980" s="109">
        <v>40867</v>
      </c>
      <c r="I980" s="109"/>
      <c r="J980" s="71"/>
      <c r="K980" s="110" t="s">
        <v>1021</v>
      </c>
    </row>
    <row r="981" spans="1:11">
      <c r="A981" s="71" t="s">
        <v>1022</v>
      </c>
      <c r="B981" s="107" t="s">
        <v>1023</v>
      </c>
      <c r="C981" s="71"/>
      <c r="D981" s="71" t="s">
        <v>1024</v>
      </c>
      <c r="E981" s="108">
        <v>115000</v>
      </c>
      <c r="F981" s="109">
        <v>40456</v>
      </c>
      <c r="G981" s="109"/>
      <c r="H981" s="109">
        <v>40463</v>
      </c>
      <c r="I981" s="109"/>
      <c r="J981" s="71"/>
      <c r="K981" s="110"/>
    </row>
    <row r="982" spans="1:11">
      <c r="A982" s="71" t="s">
        <v>1025</v>
      </c>
      <c r="B982" s="107" t="s">
        <v>1026</v>
      </c>
      <c r="C982" s="71"/>
      <c r="D982" s="71" t="s">
        <v>1027</v>
      </c>
      <c r="E982" s="108">
        <v>492006</v>
      </c>
      <c r="F982" s="109">
        <v>40459</v>
      </c>
      <c r="G982" s="109"/>
      <c r="H982" s="109">
        <v>40466</v>
      </c>
      <c r="I982" s="109"/>
      <c r="J982" s="71"/>
      <c r="K982" s="110"/>
    </row>
    <row r="983" spans="1:11">
      <c r="A983" s="71" t="s">
        <v>1028</v>
      </c>
      <c r="B983" s="107" t="s">
        <v>2516</v>
      </c>
      <c r="C983" s="71"/>
      <c r="D983" s="71" t="s">
        <v>1029</v>
      </c>
      <c r="E983" s="108">
        <v>234000</v>
      </c>
      <c r="F983" s="109">
        <v>40456</v>
      </c>
      <c r="G983" s="109"/>
      <c r="H983" s="109">
        <v>40463</v>
      </c>
      <c r="I983" s="109"/>
      <c r="J983" s="71"/>
      <c r="K983" s="110"/>
    </row>
    <row r="984" spans="1:11">
      <c r="A984" s="71" t="s">
        <v>1030</v>
      </c>
      <c r="B984" s="107" t="s">
        <v>2520</v>
      </c>
      <c r="C984" s="71"/>
      <c r="D984" s="71" t="s">
        <v>1031</v>
      </c>
      <c r="E984" s="108">
        <v>137000</v>
      </c>
      <c r="F984" s="109">
        <v>40492</v>
      </c>
      <c r="G984" s="109"/>
      <c r="H984" s="109">
        <v>40501</v>
      </c>
      <c r="I984" s="109"/>
      <c r="J984" s="71"/>
      <c r="K984" s="110"/>
    </row>
    <row r="985" spans="1:11">
      <c r="A985" s="71" t="s">
        <v>1032</v>
      </c>
      <c r="B985" s="107" t="s">
        <v>2520</v>
      </c>
      <c r="C985" s="71"/>
      <c r="D985" s="71" t="s">
        <v>1033</v>
      </c>
      <c r="E985" s="108">
        <v>131000</v>
      </c>
      <c r="F985" s="109">
        <v>40492</v>
      </c>
      <c r="G985" s="109"/>
      <c r="H985" s="109">
        <v>40501</v>
      </c>
      <c r="I985" s="109"/>
      <c r="J985" s="71"/>
      <c r="K985" s="110"/>
    </row>
    <row r="986" spans="1:11">
      <c r="A986" s="71" t="s">
        <v>1034</v>
      </c>
      <c r="B986" s="107" t="s">
        <v>2520</v>
      </c>
      <c r="C986" s="71"/>
      <c r="D986" s="71" t="s">
        <v>1035</v>
      </c>
      <c r="E986" s="108">
        <v>129000</v>
      </c>
      <c r="F986" s="109">
        <v>40492</v>
      </c>
      <c r="G986" s="109"/>
      <c r="H986" s="109">
        <v>40501</v>
      </c>
      <c r="I986" s="109"/>
      <c r="J986" s="71"/>
      <c r="K986" s="110"/>
    </row>
    <row r="987" spans="1:11">
      <c r="A987" s="71" t="s">
        <v>1036</v>
      </c>
      <c r="B987" s="107" t="s">
        <v>747</v>
      </c>
      <c r="C987" s="71"/>
      <c r="D987" s="71" t="s">
        <v>1037</v>
      </c>
      <c r="E987" s="108">
        <v>450000</v>
      </c>
      <c r="F987" s="109">
        <v>40463</v>
      </c>
      <c r="G987" s="109"/>
      <c r="H987" s="109">
        <v>40472</v>
      </c>
      <c r="I987" s="109"/>
      <c r="J987" s="71"/>
      <c r="K987" s="110"/>
    </row>
    <row r="988" spans="1:11">
      <c r="A988" s="17" t="s">
        <v>2498</v>
      </c>
      <c r="E988" s="113">
        <f>SUM(E966:E987)</f>
        <v>30880506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3"/>
  <sheetViews>
    <sheetView workbookViewId="0">
      <selection activeCell="A283" sqref="A283:IV283"/>
    </sheetView>
  </sheetViews>
  <sheetFormatPr defaultRowHeight="12.75"/>
  <cols>
    <col min="1" max="1" width="12.7109375" customWidth="1"/>
    <col min="2" max="2" width="28.140625" customWidth="1"/>
    <col min="3" max="3" width="30.7109375" customWidth="1"/>
    <col min="4" max="4" width="47.28515625" customWidth="1"/>
    <col min="5" max="5" width="14.85546875" bestFit="1" customWidth="1"/>
    <col min="10" max="10" width="25" customWidth="1"/>
  </cols>
  <sheetData>
    <row r="1" spans="1:11">
      <c r="A1" s="8" t="s">
        <v>1039</v>
      </c>
      <c r="B1" s="8"/>
      <c r="C1" s="113">
        <f>E126</f>
        <v>134316280.792</v>
      </c>
    </row>
    <row r="2" spans="1:11">
      <c r="A2" s="8" t="s">
        <v>1040</v>
      </c>
      <c r="B2" s="8"/>
      <c r="C2" s="113">
        <f>E274</f>
        <v>89853923.320000008</v>
      </c>
    </row>
    <row r="3" spans="1:11">
      <c r="A3" s="8" t="s">
        <v>1041</v>
      </c>
      <c r="B3" s="8"/>
      <c r="C3" s="113">
        <f>E283</f>
        <v>612000</v>
      </c>
      <c r="D3" s="105" t="s">
        <v>1042</v>
      </c>
    </row>
    <row r="4" spans="1:11" ht="29.25" customHeight="1">
      <c r="A4" s="8"/>
      <c r="B4" s="8"/>
      <c r="C4" s="8"/>
      <c r="D4" s="8"/>
    </row>
    <row r="5" spans="1:11">
      <c r="A5" s="8" t="s">
        <v>1038</v>
      </c>
      <c r="B5" s="8"/>
      <c r="C5" s="8"/>
      <c r="D5" s="8"/>
    </row>
    <row r="6" spans="1:11" ht="21.75" customHeight="1">
      <c r="A6" s="71" t="s">
        <v>2508</v>
      </c>
      <c r="B6" s="107" t="s">
        <v>2509</v>
      </c>
      <c r="C6" s="71" t="s">
        <v>2510</v>
      </c>
      <c r="D6" s="71" t="s">
        <v>2511</v>
      </c>
      <c r="E6" s="108">
        <v>54935000</v>
      </c>
      <c r="F6" s="109">
        <v>39742</v>
      </c>
      <c r="G6" s="109"/>
      <c r="H6" s="109">
        <v>39743</v>
      </c>
      <c r="I6" s="109"/>
      <c r="J6" s="71"/>
      <c r="K6" s="110"/>
    </row>
    <row r="7" spans="1:11">
      <c r="A7" s="71" t="s">
        <v>2519</v>
      </c>
      <c r="B7" s="107" t="s">
        <v>2520</v>
      </c>
      <c r="C7" s="71" t="s">
        <v>2521</v>
      </c>
      <c r="D7" s="71" t="s">
        <v>2522</v>
      </c>
      <c r="E7" s="108">
        <v>155527</v>
      </c>
      <c r="F7" s="109">
        <v>39728</v>
      </c>
      <c r="G7" s="109">
        <v>39937</v>
      </c>
      <c r="H7" s="109">
        <v>39749</v>
      </c>
      <c r="I7" s="109"/>
      <c r="J7" s="71"/>
      <c r="K7" s="110"/>
    </row>
    <row r="8" spans="1:11">
      <c r="A8" s="71" t="s">
        <v>2529</v>
      </c>
      <c r="B8" s="107" t="s">
        <v>2524</v>
      </c>
      <c r="C8" s="71" t="s">
        <v>2530</v>
      </c>
      <c r="D8" s="71" t="s">
        <v>2531</v>
      </c>
      <c r="E8" s="108">
        <v>146173.32199999999</v>
      </c>
      <c r="F8" s="109">
        <v>39730</v>
      </c>
      <c r="G8" s="109">
        <v>39923</v>
      </c>
      <c r="H8" s="109">
        <v>39743</v>
      </c>
      <c r="I8" s="109">
        <v>39923</v>
      </c>
      <c r="J8" s="71"/>
      <c r="K8" s="110" t="s">
        <v>2877</v>
      </c>
    </row>
    <row r="9" spans="1:11">
      <c r="A9" s="71" t="s">
        <v>2533</v>
      </c>
      <c r="B9" s="107" t="s">
        <v>2534</v>
      </c>
      <c r="C9" s="71" t="s">
        <v>2521</v>
      </c>
      <c r="D9" s="71" t="s">
        <v>2535</v>
      </c>
      <c r="E9" s="108">
        <v>948362</v>
      </c>
      <c r="F9" s="109">
        <v>39863</v>
      </c>
      <c r="G9" s="109"/>
      <c r="H9" s="109">
        <v>39902</v>
      </c>
      <c r="I9" s="109">
        <v>39932</v>
      </c>
      <c r="J9" s="71"/>
      <c r="K9" s="110"/>
    </row>
    <row r="10" spans="1:11">
      <c r="A10" s="71" t="s">
        <v>1053</v>
      </c>
      <c r="B10" s="107" t="s">
        <v>1054</v>
      </c>
      <c r="C10" s="71" t="s">
        <v>1055</v>
      </c>
      <c r="D10" s="71" t="s">
        <v>1056</v>
      </c>
      <c r="E10" s="108">
        <v>149576</v>
      </c>
      <c r="F10" s="109">
        <v>39744</v>
      </c>
      <c r="G10" s="109">
        <v>40088</v>
      </c>
      <c r="H10" s="109">
        <v>39749</v>
      </c>
      <c r="I10" s="109">
        <v>39757</v>
      </c>
      <c r="J10" s="71"/>
      <c r="K10" s="110"/>
    </row>
    <row r="11" spans="1:11">
      <c r="A11" s="71" t="s">
        <v>1064</v>
      </c>
      <c r="B11" s="107" t="s">
        <v>2520</v>
      </c>
      <c r="C11" s="71" t="s">
        <v>2512</v>
      </c>
      <c r="D11" s="71" t="s">
        <v>1065</v>
      </c>
      <c r="E11" s="108">
        <v>11823694</v>
      </c>
      <c r="F11" s="109">
        <v>39805</v>
      </c>
      <c r="G11" s="109">
        <v>40212</v>
      </c>
      <c r="H11" s="109">
        <v>39814</v>
      </c>
      <c r="I11" s="109">
        <v>39815</v>
      </c>
      <c r="J11" s="71"/>
      <c r="K11" s="110"/>
    </row>
    <row r="12" spans="1:11">
      <c r="A12" s="71" t="s">
        <v>1066</v>
      </c>
      <c r="B12" s="107" t="s">
        <v>2524</v>
      </c>
      <c r="C12" s="71" t="s">
        <v>2514</v>
      </c>
      <c r="D12" s="71" t="s">
        <v>1067</v>
      </c>
      <c r="E12" s="108">
        <v>366142</v>
      </c>
      <c r="F12" s="109">
        <v>39794</v>
      </c>
      <c r="G12" s="109">
        <v>40112</v>
      </c>
      <c r="H12" s="109">
        <v>39829</v>
      </c>
      <c r="I12" s="109">
        <v>39843</v>
      </c>
      <c r="J12" s="71"/>
      <c r="K12" s="110"/>
    </row>
    <row r="13" spans="1:11">
      <c r="A13" s="71" t="s">
        <v>1070</v>
      </c>
      <c r="B13" s="107" t="s">
        <v>2506</v>
      </c>
      <c r="C13" s="71" t="s">
        <v>1071</v>
      </c>
      <c r="D13" s="71" t="s">
        <v>1072</v>
      </c>
      <c r="E13" s="108">
        <v>319332.11</v>
      </c>
      <c r="F13" s="109">
        <v>39764</v>
      </c>
      <c r="G13" s="109"/>
      <c r="H13" s="109">
        <v>39776</v>
      </c>
      <c r="I13" s="109">
        <v>39790</v>
      </c>
      <c r="J13" s="71"/>
      <c r="K13" s="110"/>
    </row>
    <row r="14" spans="1:11">
      <c r="A14" s="71" t="s">
        <v>1073</v>
      </c>
      <c r="B14" s="107" t="s">
        <v>2520</v>
      </c>
      <c r="C14" s="71" t="s">
        <v>1074</v>
      </c>
      <c r="D14" s="71" t="s">
        <v>1075</v>
      </c>
      <c r="E14" s="108">
        <v>101599.41</v>
      </c>
      <c r="F14" s="109">
        <v>39854</v>
      </c>
      <c r="G14" s="109">
        <v>40254</v>
      </c>
      <c r="H14" s="109">
        <v>39878</v>
      </c>
      <c r="I14" s="109">
        <v>39960</v>
      </c>
      <c r="J14" s="71"/>
      <c r="K14" s="110"/>
    </row>
    <row r="15" spans="1:11">
      <c r="A15" s="71" t="s">
        <v>1076</v>
      </c>
      <c r="B15" s="107" t="s">
        <v>2520</v>
      </c>
      <c r="C15" s="71" t="s">
        <v>1077</v>
      </c>
      <c r="D15" s="71" t="s">
        <v>1078</v>
      </c>
      <c r="E15" s="108">
        <v>713000</v>
      </c>
      <c r="F15" s="109">
        <v>39863</v>
      </c>
      <c r="G15" s="109">
        <v>40101</v>
      </c>
      <c r="H15" s="109">
        <v>39854</v>
      </c>
      <c r="I15" s="109">
        <v>40101</v>
      </c>
      <c r="J15" s="71"/>
      <c r="K15" s="110"/>
    </row>
    <row r="16" spans="1:11">
      <c r="A16" s="71" t="s">
        <v>1079</v>
      </c>
      <c r="B16" s="107" t="s">
        <v>2520</v>
      </c>
      <c r="C16" s="71" t="s">
        <v>1080</v>
      </c>
      <c r="D16" s="71" t="s">
        <v>1081</v>
      </c>
      <c r="E16" s="108">
        <v>1404698.56</v>
      </c>
      <c r="F16" s="109">
        <v>39864</v>
      </c>
      <c r="G16" s="109">
        <v>40231</v>
      </c>
      <c r="H16" s="109">
        <v>39878</v>
      </c>
      <c r="I16" s="109">
        <v>39881</v>
      </c>
      <c r="J16" s="71"/>
      <c r="K16" s="110"/>
    </row>
    <row r="17" spans="1:11">
      <c r="A17" s="71" t="s">
        <v>1082</v>
      </c>
      <c r="B17" s="107" t="s">
        <v>1083</v>
      </c>
      <c r="C17" s="71" t="s">
        <v>2530</v>
      </c>
      <c r="D17" s="71" t="s">
        <v>1084</v>
      </c>
      <c r="E17" s="108">
        <v>1166526</v>
      </c>
      <c r="F17" s="109">
        <v>39975</v>
      </c>
      <c r="G17" s="109"/>
      <c r="H17" s="109">
        <v>39989</v>
      </c>
      <c r="I17" s="109">
        <v>39988</v>
      </c>
      <c r="J17" s="71"/>
      <c r="K17" s="110"/>
    </row>
    <row r="18" spans="1:11">
      <c r="A18" s="71" t="s">
        <v>1086</v>
      </c>
      <c r="B18" s="107" t="s">
        <v>2520</v>
      </c>
      <c r="C18" s="71" t="s">
        <v>2514</v>
      </c>
      <c r="D18" s="71" t="s">
        <v>1087</v>
      </c>
      <c r="E18" s="108">
        <v>353436.31</v>
      </c>
      <c r="F18" s="109">
        <v>39870</v>
      </c>
      <c r="G18" s="109">
        <v>40260</v>
      </c>
      <c r="H18" s="109">
        <v>39884</v>
      </c>
      <c r="I18" s="109">
        <v>39884</v>
      </c>
      <c r="J18" s="71"/>
      <c r="K18" s="110"/>
    </row>
    <row r="19" spans="1:11">
      <c r="A19" s="71" t="s">
        <v>1088</v>
      </c>
      <c r="B19" s="107" t="s">
        <v>2520</v>
      </c>
      <c r="C19" s="71" t="s">
        <v>3169</v>
      </c>
      <c r="D19" s="71" t="s">
        <v>3170</v>
      </c>
      <c r="E19" s="108">
        <v>804285.4</v>
      </c>
      <c r="F19" s="109">
        <v>39855</v>
      </c>
      <c r="G19" s="109">
        <v>40177</v>
      </c>
      <c r="H19" s="109">
        <v>39878</v>
      </c>
      <c r="I19" s="109" t="s">
        <v>3171</v>
      </c>
      <c r="J19" s="71"/>
      <c r="K19" s="110"/>
    </row>
    <row r="20" spans="1:11">
      <c r="A20" s="71" t="s">
        <v>3172</v>
      </c>
      <c r="B20" s="107" t="s">
        <v>2520</v>
      </c>
      <c r="C20" s="71" t="s">
        <v>1090</v>
      </c>
      <c r="D20" s="71" t="s">
        <v>1091</v>
      </c>
      <c r="E20" s="108"/>
      <c r="F20" s="109">
        <v>39855</v>
      </c>
      <c r="G20" s="109">
        <v>40177</v>
      </c>
      <c r="H20" s="109">
        <v>39863</v>
      </c>
      <c r="I20" s="109"/>
      <c r="J20" s="71"/>
      <c r="K20" s="110"/>
    </row>
    <row r="21" spans="1:11">
      <c r="A21" s="71" t="s">
        <v>1092</v>
      </c>
      <c r="B21" s="107" t="s">
        <v>2520</v>
      </c>
      <c r="C21" s="71" t="s">
        <v>1093</v>
      </c>
      <c r="D21" s="71" t="s">
        <v>1094</v>
      </c>
      <c r="E21" s="108"/>
      <c r="F21" s="109">
        <v>39855</v>
      </c>
      <c r="G21" s="109">
        <v>40177</v>
      </c>
      <c r="H21" s="109">
        <v>39863</v>
      </c>
      <c r="I21" s="109"/>
      <c r="J21" s="71"/>
      <c r="K21" s="110"/>
    </row>
    <row r="22" spans="1:11">
      <c r="A22" s="71" t="s">
        <v>1095</v>
      </c>
      <c r="B22" s="107" t="s">
        <v>1096</v>
      </c>
      <c r="C22" s="71" t="s">
        <v>1057</v>
      </c>
      <c r="D22" s="71" t="s">
        <v>1097</v>
      </c>
      <c r="E22" s="108">
        <v>1395576</v>
      </c>
      <c r="F22" s="109">
        <v>39951</v>
      </c>
      <c r="G22" s="109"/>
      <c r="H22" s="109">
        <v>39955</v>
      </c>
      <c r="I22" s="109">
        <v>39976</v>
      </c>
      <c r="J22" s="71"/>
      <c r="K22" s="110"/>
    </row>
    <row r="23" spans="1:11">
      <c r="A23" s="71" t="s">
        <v>1100</v>
      </c>
      <c r="B23" s="107" t="s">
        <v>2520</v>
      </c>
      <c r="C23" s="71" t="s">
        <v>1101</v>
      </c>
      <c r="D23" s="71" t="s">
        <v>1102</v>
      </c>
      <c r="E23" s="108">
        <v>250000</v>
      </c>
      <c r="F23" s="109">
        <v>39976</v>
      </c>
      <c r="G23" s="109"/>
      <c r="H23" s="109">
        <v>39986</v>
      </c>
      <c r="I23" s="109"/>
      <c r="J23" s="71"/>
      <c r="K23" s="110"/>
    </row>
    <row r="24" spans="1:11">
      <c r="A24" s="71" t="s">
        <v>1103</v>
      </c>
      <c r="B24" s="107" t="s">
        <v>2520</v>
      </c>
      <c r="C24" s="71" t="s">
        <v>1104</v>
      </c>
      <c r="D24" s="71" t="s">
        <v>1105</v>
      </c>
      <c r="E24" s="108"/>
      <c r="F24" s="109">
        <v>39856</v>
      </c>
      <c r="G24" s="109"/>
      <c r="H24" s="109">
        <v>39881</v>
      </c>
      <c r="I24" s="109"/>
      <c r="J24" s="71" t="s">
        <v>2518</v>
      </c>
      <c r="K24" s="110"/>
    </row>
    <row r="25" spans="1:11">
      <c r="A25" s="71" t="s">
        <v>1106</v>
      </c>
      <c r="B25" s="107" t="s">
        <v>2524</v>
      </c>
      <c r="C25" s="71" t="s">
        <v>1107</v>
      </c>
      <c r="D25" s="71" t="s">
        <v>1108</v>
      </c>
      <c r="E25" s="108">
        <v>250410.96</v>
      </c>
      <c r="F25" s="109">
        <v>39842</v>
      </c>
      <c r="G25" s="109">
        <v>40501</v>
      </c>
      <c r="H25" s="109">
        <v>39867</v>
      </c>
      <c r="I25" s="109">
        <v>39871</v>
      </c>
      <c r="J25" s="71"/>
      <c r="K25" s="110"/>
    </row>
    <row r="26" spans="1:11">
      <c r="A26" s="71" t="s">
        <v>1113</v>
      </c>
      <c r="B26" s="107" t="s">
        <v>1054</v>
      </c>
      <c r="C26" s="71" t="s">
        <v>1114</v>
      </c>
      <c r="D26" s="71" t="s">
        <v>1115</v>
      </c>
      <c r="E26" s="108">
        <v>102000</v>
      </c>
      <c r="F26" s="109">
        <v>39863</v>
      </c>
      <c r="G26" s="109"/>
      <c r="H26" s="109">
        <v>39882</v>
      </c>
      <c r="I26" s="109"/>
      <c r="J26" s="71"/>
      <c r="K26" s="110"/>
    </row>
    <row r="27" spans="1:11">
      <c r="A27" s="71" t="s">
        <v>1116</v>
      </c>
      <c r="B27" s="107" t="s">
        <v>2520</v>
      </c>
      <c r="C27" s="71" t="s">
        <v>1117</v>
      </c>
      <c r="D27" s="71" t="s">
        <v>1118</v>
      </c>
      <c r="E27" s="108">
        <v>190000</v>
      </c>
      <c r="F27" s="109">
        <v>39869</v>
      </c>
      <c r="G27" s="109"/>
      <c r="H27" s="109">
        <v>39882</v>
      </c>
      <c r="I27" s="109"/>
      <c r="J27" s="71"/>
      <c r="K27" s="110"/>
    </row>
    <row r="28" spans="1:11">
      <c r="A28" s="71" t="s">
        <v>1119</v>
      </c>
      <c r="B28" s="107" t="s">
        <v>2520</v>
      </c>
      <c r="C28" s="71" t="s">
        <v>1120</v>
      </c>
      <c r="D28" s="71" t="s">
        <v>1121</v>
      </c>
      <c r="E28" s="108">
        <v>473797</v>
      </c>
      <c r="F28" s="109">
        <v>39917</v>
      </c>
      <c r="G28" s="109">
        <v>40231</v>
      </c>
      <c r="H28" s="109">
        <v>39940</v>
      </c>
      <c r="I28" s="109">
        <v>39940</v>
      </c>
      <c r="J28" s="71"/>
      <c r="K28" s="110"/>
    </row>
    <row r="29" spans="1:11">
      <c r="A29" s="71" t="s">
        <v>1127</v>
      </c>
      <c r="B29" s="107" t="s">
        <v>1054</v>
      </c>
      <c r="C29" s="71" t="s">
        <v>2530</v>
      </c>
      <c r="D29" s="71" t="s">
        <v>1128</v>
      </c>
      <c r="E29" s="108">
        <v>1290908.76</v>
      </c>
      <c r="F29" s="109">
        <v>39938</v>
      </c>
      <c r="G29" s="109">
        <v>40210</v>
      </c>
      <c r="H29" s="109">
        <v>39945</v>
      </c>
      <c r="I29" s="109">
        <v>39946</v>
      </c>
      <c r="J29" s="71"/>
      <c r="K29" s="110"/>
    </row>
    <row r="30" spans="1:11">
      <c r="A30" s="71" t="s">
        <v>1129</v>
      </c>
      <c r="B30" s="107" t="s">
        <v>2524</v>
      </c>
      <c r="C30" s="71" t="s">
        <v>1071</v>
      </c>
      <c r="D30" s="71" t="s">
        <v>1130</v>
      </c>
      <c r="E30" s="108">
        <v>255197.71</v>
      </c>
      <c r="F30" s="109">
        <v>39877</v>
      </c>
      <c r="G30" s="109">
        <v>40256</v>
      </c>
      <c r="H30" s="109">
        <v>39945</v>
      </c>
      <c r="I30" s="109">
        <v>39952</v>
      </c>
      <c r="J30" s="71"/>
      <c r="K30" s="110"/>
    </row>
    <row r="31" spans="1:11">
      <c r="A31" s="71" t="s">
        <v>1133</v>
      </c>
      <c r="B31" s="107" t="s">
        <v>1054</v>
      </c>
      <c r="C31" s="71" t="s">
        <v>2530</v>
      </c>
      <c r="D31" s="71" t="s">
        <v>1134</v>
      </c>
      <c r="E31" s="108">
        <v>549642.84</v>
      </c>
      <c r="F31" s="109">
        <v>39941</v>
      </c>
      <c r="G31" s="109">
        <v>40137</v>
      </c>
      <c r="H31" s="109">
        <v>39945</v>
      </c>
      <c r="I31" s="109">
        <v>39960</v>
      </c>
      <c r="J31" s="71"/>
      <c r="K31" s="110"/>
    </row>
    <row r="32" spans="1:11">
      <c r="A32" s="71" t="s">
        <v>1135</v>
      </c>
      <c r="B32" s="107" t="s">
        <v>1054</v>
      </c>
      <c r="C32" s="71" t="s">
        <v>2530</v>
      </c>
      <c r="D32" s="71" t="s">
        <v>1136</v>
      </c>
      <c r="E32" s="108">
        <v>847014.40000000002</v>
      </c>
      <c r="F32" s="109">
        <v>39941</v>
      </c>
      <c r="G32" s="109">
        <v>40140</v>
      </c>
      <c r="H32" s="109">
        <v>39945</v>
      </c>
      <c r="I32" s="109">
        <v>39960</v>
      </c>
      <c r="J32" s="71"/>
      <c r="K32" s="110"/>
    </row>
    <row r="33" spans="1:11">
      <c r="A33" s="71" t="s">
        <v>1139</v>
      </c>
      <c r="B33" s="107" t="s">
        <v>2520</v>
      </c>
      <c r="C33" s="71" t="s">
        <v>1120</v>
      </c>
      <c r="D33" s="71" t="s">
        <v>1140</v>
      </c>
      <c r="E33" s="108">
        <v>355144</v>
      </c>
      <c r="F33" s="109">
        <v>39898</v>
      </c>
      <c r="G33" s="109">
        <v>40190</v>
      </c>
      <c r="H33" s="109">
        <v>39911</v>
      </c>
      <c r="I33" s="109">
        <v>39913</v>
      </c>
      <c r="J33" s="71"/>
      <c r="K33" s="110"/>
    </row>
    <row r="34" spans="1:11">
      <c r="A34" s="71" t="s">
        <v>1141</v>
      </c>
      <c r="B34" s="107" t="s">
        <v>2524</v>
      </c>
      <c r="C34" s="71" t="s">
        <v>1069</v>
      </c>
      <c r="D34" s="71" t="s">
        <v>1142</v>
      </c>
      <c r="E34" s="108">
        <v>414788</v>
      </c>
      <c r="F34" s="109">
        <v>39898</v>
      </c>
      <c r="G34" s="109">
        <v>40256</v>
      </c>
      <c r="H34" s="109">
        <v>39924</v>
      </c>
      <c r="I34" s="109">
        <v>39930</v>
      </c>
      <c r="J34" s="71"/>
      <c r="K34" s="110"/>
    </row>
    <row r="35" spans="1:11">
      <c r="A35" s="71" t="s">
        <v>1143</v>
      </c>
      <c r="B35" s="107" t="s">
        <v>2520</v>
      </c>
      <c r="C35" s="71" t="s">
        <v>1144</v>
      </c>
      <c r="D35" s="71" t="s">
        <v>1145</v>
      </c>
      <c r="E35" s="108">
        <v>275045.59000000003</v>
      </c>
      <c r="F35" s="109">
        <v>39953</v>
      </c>
      <c r="G35" s="109">
        <v>40254</v>
      </c>
      <c r="H35" s="109">
        <v>39966</v>
      </c>
      <c r="I35" s="109">
        <v>39966</v>
      </c>
      <c r="J35" s="71"/>
      <c r="K35" s="110"/>
    </row>
    <row r="36" spans="1:11">
      <c r="A36" s="71" t="s">
        <v>1146</v>
      </c>
      <c r="B36" s="107" t="s">
        <v>2520</v>
      </c>
      <c r="C36" s="71" t="s">
        <v>1147</v>
      </c>
      <c r="D36" s="71" t="s">
        <v>1148</v>
      </c>
      <c r="E36" s="108">
        <v>653135.75</v>
      </c>
      <c r="F36" s="109">
        <v>39926</v>
      </c>
      <c r="G36" s="109">
        <v>40059</v>
      </c>
      <c r="H36" s="109">
        <v>39945</v>
      </c>
      <c r="I36" s="109">
        <v>39951</v>
      </c>
      <c r="J36" s="71"/>
      <c r="K36" s="110"/>
    </row>
    <row r="37" spans="1:11">
      <c r="A37" s="71" t="s">
        <v>1150</v>
      </c>
      <c r="B37" s="107" t="s">
        <v>2524</v>
      </c>
      <c r="C37" s="71" t="s">
        <v>1151</v>
      </c>
      <c r="D37" s="71" t="s">
        <v>1152</v>
      </c>
      <c r="E37" s="108">
        <v>822000</v>
      </c>
      <c r="F37" s="109">
        <v>39902</v>
      </c>
      <c r="G37" s="109">
        <v>40256</v>
      </c>
      <c r="H37" s="109">
        <v>39902</v>
      </c>
      <c r="I37" s="109">
        <v>39939</v>
      </c>
      <c r="J37" s="71"/>
      <c r="K37" s="110"/>
    </row>
    <row r="38" spans="1:11">
      <c r="A38" s="71" t="s">
        <v>1154</v>
      </c>
      <c r="B38" s="107" t="s">
        <v>2524</v>
      </c>
      <c r="C38" s="71" t="s">
        <v>1155</v>
      </c>
      <c r="D38" s="71" t="s">
        <v>1156</v>
      </c>
      <c r="E38" s="108">
        <v>3571736</v>
      </c>
      <c r="F38" s="109">
        <v>39912</v>
      </c>
      <c r="G38" s="109">
        <v>40113</v>
      </c>
      <c r="H38" s="109">
        <v>39926</v>
      </c>
      <c r="I38" s="109">
        <v>39939</v>
      </c>
      <c r="J38" s="71"/>
      <c r="K38" s="110"/>
    </row>
    <row r="39" spans="1:11">
      <c r="A39" s="71" t="s">
        <v>1157</v>
      </c>
      <c r="B39" s="107" t="s">
        <v>2524</v>
      </c>
      <c r="C39" s="71" t="s">
        <v>2524</v>
      </c>
      <c r="D39" s="71" t="s">
        <v>1158</v>
      </c>
      <c r="E39" s="108">
        <v>250112</v>
      </c>
      <c r="F39" s="109">
        <v>39902</v>
      </c>
      <c r="G39" s="109">
        <v>40123</v>
      </c>
      <c r="H39" s="109">
        <v>39902</v>
      </c>
      <c r="I39" s="109"/>
      <c r="J39" s="71"/>
      <c r="K39" s="110"/>
    </row>
    <row r="40" spans="1:11">
      <c r="A40" s="71" t="s">
        <v>1159</v>
      </c>
      <c r="B40" s="107" t="s">
        <v>2520</v>
      </c>
      <c r="C40" s="71" t="s">
        <v>1160</v>
      </c>
      <c r="D40" s="71" t="s">
        <v>1161</v>
      </c>
      <c r="E40" s="108">
        <v>150776</v>
      </c>
      <c r="F40" s="109">
        <v>39917</v>
      </c>
      <c r="G40" s="109">
        <v>40100</v>
      </c>
      <c r="H40" s="109">
        <v>39945</v>
      </c>
      <c r="I40" s="109">
        <v>39946</v>
      </c>
      <c r="J40" s="71"/>
      <c r="K40" s="110"/>
    </row>
    <row r="41" spans="1:11">
      <c r="A41" s="71" t="s">
        <v>1162</v>
      </c>
      <c r="B41" s="107" t="s">
        <v>2520</v>
      </c>
      <c r="C41" s="71" t="s">
        <v>2517</v>
      </c>
      <c r="D41" s="71" t="s">
        <v>1163</v>
      </c>
      <c r="E41" s="108">
        <v>335182.38</v>
      </c>
      <c r="F41" s="109">
        <v>39917</v>
      </c>
      <c r="G41" s="109">
        <v>40254</v>
      </c>
      <c r="H41" s="109">
        <v>39933</v>
      </c>
      <c r="I41" s="109">
        <v>39937</v>
      </c>
      <c r="J41" s="71"/>
      <c r="K41" s="110"/>
    </row>
    <row r="42" spans="1:11">
      <c r="A42" s="71" t="s">
        <v>1164</v>
      </c>
      <c r="B42" s="107" t="s">
        <v>2520</v>
      </c>
      <c r="C42" s="71" t="s">
        <v>1165</v>
      </c>
      <c r="D42" s="71" t="s">
        <v>1166</v>
      </c>
      <c r="E42" s="108">
        <v>113000</v>
      </c>
      <c r="F42" s="109">
        <v>39913</v>
      </c>
      <c r="G42" s="109"/>
      <c r="H42" s="109">
        <v>39923</v>
      </c>
      <c r="I42" s="109"/>
      <c r="J42" s="71"/>
      <c r="K42" s="110"/>
    </row>
    <row r="43" spans="1:11">
      <c r="A43" s="71" t="s">
        <v>1167</v>
      </c>
      <c r="B43" s="107" t="s">
        <v>2520</v>
      </c>
      <c r="C43" s="71" t="s">
        <v>1168</v>
      </c>
      <c r="D43" s="71" t="s">
        <v>1169</v>
      </c>
      <c r="E43" s="108">
        <v>161799.76999999999</v>
      </c>
      <c r="F43" s="109">
        <v>39917</v>
      </c>
      <c r="G43" s="109"/>
      <c r="H43" s="109">
        <v>39938</v>
      </c>
      <c r="I43" s="109">
        <v>39938</v>
      </c>
      <c r="J43" s="71"/>
      <c r="K43" s="110"/>
    </row>
    <row r="44" spans="1:11">
      <c r="A44" s="71" t="s">
        <v>1170</v>
      </c>
      <c r="B44" s="107" t="s">
        <v>2520</v>
      </c>
      <c r="C44" s="71" t="s">
        <v>1171</v>
      </c>
      <c r="D44" s="71" t="s">
        <v>1172</v>
      </c>
      <c r="E44" s="108">
        <v>150776</v>
      </c>
      <c r="F44" s="109">
        <v>39917</v>
      </c>
      <c r="G44" s="109"/>
      <c r="H44" s="109">
        <v>39945</v>
      </c>
      <c r="I44" s="109">
        <v>39946</v>
      </c>
      <c r="J44" s="71"/>
      <c r="K44" s="110"/>
    </row>
    <row r="45" spans="1:11">
      <c r="A45" s="71" t="s">
        <v>1173</v>
      </c>
      <c r="B45" s="107" t="s">
        <v>2520</v>
      </c>
      <c r="C45" s="71"/>
      <c r="D45" s="71" t="s">
        <v>1174</v>
      </c>
      <c r="E45" s="108">
        <v>108000</v>
      </c>
      <c r="F45" s="109">
        <v>39917</v>
      </c>
      <c r="G45" s="109"/>
      <c r="H45" s="109">
        <v>39925</v>
      </c>
      <c r="I45" s="109"/>
      <c r="J45" s="71"/>
      <c r="K45" s="110"/>
    </row>
    <row r="46" spans="1:11">
      <c r="A46" s="71" t="s">
        <v>1175</v>
      </c>
      <c r="B46" s="107" t="s">
        <v>2520</v>
      </c>
      <c r="C46" s="71" t="s">
        <v>1176</v>
      </c>
      <c r="D46" s="71" t="s">
        <v>1177</v>
      </c>
      <c r="E46" s="108">
        <v>84000</v>
      </c>
      <c r="F46" s="109">
        <v>39917</v>
      </c>
      <c r="G46" s="109"/>
      <c r="H46" s="109">
        <v>39925</v>
      </c>
      <c r="I46" s="109"/>
      <c r="J46" s="71" t="s">
        <v>1176</v>
      </c>
      <c r="K46" s="110"/>
    </row>
    <row r="47" spans="1:11">
      <c r="A47" s="71" t="s">
        <v>1178</v>
      </c>
      <c r="B47" s="107" t="s">
        <v>2520</v>
      </c>
      <c r="C47" s="71" t="s">
        <v>1176</v>
      </c>
      <c r="D47" s="71" t="s">
        <v>1179</v>
      </c>
      <c r="E47" s="108">
        <v>88000</v>
      </c>
      <c r="F47" s="109">
        <v>39917</v>
      </c>
      <c r="G47" s="109"/>
      <c r="H47" s="109">
        <v>39925</v>
      </c>
      <c r="I47" s="109"/>
      <c r="J47" s="71" t="s">
        <v>1176</v>
      </c>
      <c r="K47" s="110"/>
    </row>
    <row r="48" spans="1:11">
      <c r="A48" s="71" t="s">
        <v>1180</v>
      </c>
      <c r="B48" s="107" t="s">
        <v>2520</v>
      </c>
      <c r="C48" s="71" t="s">
        <v>1176</v>
      </c>
      <c r="D48" s="71" t="s">
        <v>1181</v>
      </c>
      <c r="E48" s="108">
        <v>91000</v>
      </c>
      <c r="F48" s="109">
        <v>39917</v>
      </c>
      <c r="G48" s="109"/>
      <c r="H48" s="109">
        <v>39925</v>
      </c>
      <c r="I48" s="109"/>
      <c r="J48" s="71" t="s">
        <v>1176</v>
      </c>
      <c r="K48" s="110"/>
    </row>
    <row r="49" spans="1:11">
      <c r="A49" s="71" t="s">
        <v>1182</v>
      </c>
      <c r="B49" s="107" t="s">
        <v>2520</v>
      </c>
      <c r="C49" s="71" t="s">
        <v>1183</v>
      </c>
      <c r="D49" s="71" t="s">
        <v>1184</v>
      </c>
      <c r="E49" s="108">
        <v>107994.66</v>
      </c>
      <c r="F49" s="109">
        <v>39925</v>
      </c>
      <c r="G49" s="109">
        <v>40254</v>
      </c>
      <c r="H49" s="109">
        <v>39939</v>
      </c>
      <c r="I49" s="109">
        <v>39940</v>
      </c>
      <c r="J49" s="71"/>
      <c r="K49" s="110"/>
    </row>
    <row r="50" spans="1:11">
      <c r="A50" s="71" t="s">
        <v>1185</v>
      </c>
      <c r="B50" s="107" t="s">
        <v>2520</v>
      </c>
      <c r="C50" s="71" t="s">
        <v>1183</v>
      </c>
      <c r="D50" s="71" t="s">
        <v>1186</v>
      </c>
      <c r="E50" s="108">
        <v>515731.63</v>
      </c>
      <c r="F50" s="109">
        <v>39925</v>
      </c>
      <c r="G50" s="109">
        <v>40254</v>
      </c>
      <c r="H50" s="109">
        <v>39939</v>
      </c>
      <c r="I50" s="109">
        <v>39940</v>
      </c>
      <c r="J50" s="71"/>
      <c r="K50" s="110"/>
    </row>
    <row r="51" spans="1:11">
      <c r="A51" s="71" t="s">
        <v>1187</v>
      </c>
      <c r="B51" s="107" t="s">
        <v>2520</v>
      </c>
      <c r="C51" s="71" t="s">
        <v>1188</v>
      </c>
      <c r="D51" s="71" t="s">
        <v>1189</v>
      </c>
      <c r="E51" s="108">
        <v>233962.49</v>
      </c>
      <c r="F51" s="109">
        <v>39925</v>
      </c>
      <c r="G51" s="109">
        <v>40254</v>
      </c>
      <c r="H51" s="109">
        <v>39939</v>
      </c>
      <c r="I51" s="109">
        <v>39940</v>
      </c>
      <c r="J51" s="71"/>
      <c r="K51" s="110"/>
    </row>
    <row r="52" spans="1:11">
      <c r="A52" s="71" t="s">
        <v>1190</v>
      </c>
      <c r="B52" s="107" t="s">
        <v>2520</v>
      </c>
      <c r="C52" s="71" t="s">
        <v>1191</v>
      </c>
      <c r="D52" s="71" t="s">
        <v>1192</v>
      </c>
      <c r="E52" s="108">
        <v>115944</v>
      </c>
      <c r="F52" s="109">
        <v>39925</v>
      </c>
      <c r="G52" s="109">
        <v>40057</v>
      </c>
      <c r="H52" s="109">
        <v>39940</v>
      </c>
      <c r="I52" s="109">
        <v>39940</v>
      </c>
      <c r="J52" s="71"/>
      <c r="K52" s="110"/>
    </row>
    <row r="53" spans="1:11">
      <c r="A53" s="71" t="s">
        <v>1193</v>
      </c>
      <c r="B53" s="107" t="s">
        <v>2520</v>
      </c>
      <c r="C53" s="71" t="s">
        <v>1074</v>
      </c>
      <c r="D53" s="71" t="s">
        <v>1194</v>
      </c>
      <c r="E53" s="108">
        <v>114171.15</v>
      </c>
      <c r="F53" s="109">
        <v>39854</v>
      </c>
      <c r="G53" s="109">
        <v>40254</v>
      </c>
      <c r="H53" s="109">
        <v>39878</v>
      </c>
      <c r="I53" s="109">
        <v>39878</v>
      </c>
      <c r="J53" s="71"/>
      <c r="K53" s="110"/>
    </row>
    <row r="54" spans="1:11">
      <c r="A54" s="71" t="s">
        <v>1195</v>
      </c>
      <c r="B54" s="107" t="s">
        <v>2520</v>
      </c>
      <c r="C54" s="71" t="s">
        <v>2513</v>
      </c>
      <c r="D54" s="71" t="s">
        <v>1196</v>
      </c>
      <c r="E54" s="108">
        <v>456917.32</v>
      </c>
      <c r="F54" s="109">
        <v>39924</v>
      </c>
      <c r="G54" s="109">
        <v>40260</v>
      </c>
      <c r="H54" s="109">
        <v>39945</v>
      </c>
      <c r="I54" s="109">
        <v>39946</v>
      </c>
      <c r="J54" s="71"/>
      <c r="K54" s="110"/>
    </row>
    <row r="55" spans="1:11">
      <c r="A55" s="71" t="s">
        <v>1197</v>
      </c>
      <c r="B55" s="107" t="s">
        <v>2520</v>
      </c>
      <c r="C55" s="71" t="s">
        <v>1198</v>
      </c>
      <c r="D55" s="71" t="s">
        <v>1199</v>
      </c>
      <c r="E55" s="108">
        <v>150000</v>
      </c>
      <c r="F55" s="109">
        <v>39885</v>
      </c>
      <c r="G55" s="109"/>
      <c r="H55" s="109">
        <v>39870</v>
      </c>
      <c r="I55" s="109"/>
      <c r="J55" s="71"/>
      <c r="K55" s="110"/>
    </row>
    <row r="56" spans="1:11">
      <c r="A56" s="71" t="s">
        <v>1201</v>
      </c>
      <c r="B56" s="107" t="s">
        <v>2520</v>
      </c>
      <c r="C56" s="71" t="s">
        <v>1188</v>
      </c>
      <c r="D56" s="71" t="s">
        <v>1202</v>
      </c>
      <c r="E56" s="108">
        <v>153673.60000000001</v>
      </c>
      <c r="F56" s="109">
        <v>39933</v>
      </c>
      <c r="G56" s="109">
        <v>40254</v>
      </c>
      <c r="H56" s="109">
        <v>39952</v>
      </c>
      <c r="I56" s="109">
        <v>39960</v>
      </c>
      <c r="J56" s="71"/>
      <c r="K56" s="110"/>
    </row>
    <row r="57" spans="1:11">
      <c r="A57" s="71" t="s">
        <v>1203</v>
      </c>
      <c r="B57" s="107" t="s">
        <v>2520</v>
      </c>
      <c r="C57" s="71" t="s">
        <v>1204</v>
      </c>
      <c r="D57" s="71" t="s">
        <v>1205</v>
      </c>
      <c r="E57" s="108">
        <v>196000</v>
      </c>
      <c r="F57" s="109">
        <v>39933</v>
      </c>
      <c r="G57" s="109">
        <v>39960</v>
      </c>
      <c r="H57" s="109">
        <v>39941</v>
      </c>
      <c r="I57" s="109"/>
      <c r="J57" s="71" t="s">
        <v>1206</v>
      </c>
      <c r="K57" s="110"/>
    </row>
    <row r="58" spans="1:11">
      <c r="A58" s="71" t="s">
        <v>1207</v>
      </c>
      <c r="B58" s="107" t="s">
        <v>2520</v>
      </c>
      <c r="C58" s="71" t="s">
        <v>1188</v>
      </c>
      <c r="D58" s="71" t="s">
        <v>1208</v>
      </c>
      <c r="E58" s="108">
        <v>973570.17</v>
      </c>
      <c r="F58" s="109">
        <v>39933</v>
      </c>
      <c r="G58" s="109">
        <v>40254</v>
      </c>
      <c r="H58" s="109">
        <v>39952</v>
      </c>
      <c r="I58" s="109">
        <v>39960</v>
      </c>
      <c r="J58" s="71"/>
      <c r="K58" s="110"/>
    </row>
    <row r="59" spans="1:11">
      <c r="A59" s="71" t="s">
        <v>1215</v>
      </c>
      <c r="B59" s="107" t="s">
        <v>1054</v>
      </c>
      <c r="C59" s="71" t="s">
        <v>1216</v>
      </c>
      <c r="D59" s="71" t="s">
        <v>1217</v>
      </c>
      <c r="E59" s="108">
        <v>129130</v>
      </c>
      <c r="F59" s="109">
        <v>39953</v>
      </c>
      <c r="G59" s="109">
        <v>40028</v>
      </c>
      <c r="H59" s="109">
        <v>39959</v>
      </c>
      <c r="I59" s="109">
        <v>39960</v>
      </c>
      <c r="J59" s="71"/>
      <c r="K59" s="110"/>
    </row>
    <row r="60" spans="1:11">
      <c r="A60" s="71" t="s">
        <v>1220</v>
      </c>
      <c r="B60" s="107" t="s">
        <v>1221</v>
      </c>
      <c r="C60" s="71" t="s">
        <v>1222</v>
      </c>
      <c r="D60" s="71" t="s">
        <v>1223</v>
      </c>
      <c r="E60" s="108">
        <v>190719.29</v>
      </c>
      <c r="F60" s="109">
        <v>39948</v>
      </c>
      <c r="G60" s="109"/>
      <c r="H60" s="109">
        <v>39975</v>
      </c>
      <c r="I60" s="109">
        <v>39983</v>
      </c>
      <c r="J60" s="71"/>
      <c r="K60" s="110"/>
    </row>
    <row r="61" spans="1:11">
      <c r="A61" s="71" t="s">
        <v>1224</v>
      </c>
      <c r="B61" s="107" t="s">
        <v>1225</v>
      </c>
      <c r="C61" s="71" t="s">
        <v>1226</v>
      </c>
      <c r="D61" s="71" t="s">
        <v>1227</v>
      </c>
      <c r="E61" s="108">
        <v>446446</v>
      </c>
      <c r="F61" s="109">
        <v>39945</v>
      </c>
      <c r="G61" s="109"/>
      <c r="H61" s="109">
        <v>39953</v>
      </c>
      <c r="I61" s="109">
        <v>39968</v>
      </c>
      <c r="J61" s="71"/>
      <c r="K61" s="110"/>
    </row>
    <row r="62" spans="1:11">
      <c r="A62" s="71" t="s">
        <v>1228</v>
      </c>
      <c r="B62" s="107" t="s">
        <v>2524</v>
      </c>
      <c r="C62" s="71" t="s">
        <v>1229</v>
      </c>
      <c r="D62" s="71" t="s">
        <v>1230</v>
      </c>
      <c r="E62" s="108">
        <v>106864</v>
      </c>
      <c r="F62" s="109">
        <v>39954</v>
      </c>
      <c r="G62" s="109"/>
      <c r="H62" s="109">
        <v>39979</v>
      </c>
      <c r="I62" s="109">
        <v>39980</v>
      </c>
      <c r="J62" s="71"/>
      <c r="K62" s="110"/>
    </row>
    <row r="63" spans="1:11">
      <c r="A63" s="71" t="s">
        <v>1231</v>
      </c>
      <c r="B63" s="107" t="s">
        <v>1221</v>
      </c>
      <c r="C63" s="71" t="s">
        <v>1080</v>
      </c>
      <c r="D63" s="71" t="s">
        <v>1232</v>
      </c>
      <c r="E63" s="108">
        <v>990000</v>
      </c>
      <c r="F63" s="109">
        <v>39967</v>
      </c>
      <c r="G63" s="109"/>
      <c r="H63" s="109">
        <v>39973</v>
      </c>
      <c r="I63" s="109">
        <v>39980</v>
      </c>
      <c r="J63" s="71"/>
      <c r="K63" s="110"/>
    </row>
    <row r="64" spans="1:11">
      <c r="A64" s="71" t="s">
        <v>1233</v>
      </c>
      <c r="B64" s="107" t="s">
        <v>1221</v>
      </c>
      <c r="C64" s="71" t="s">
        <v>1234</v>
      </c>
      <c r="D64" s="71" t="s">
        <v>1235</v>
      </c>
      <c r="E64" s="108">
        <v>20657000</v>
      </c>
      <c r="F64" s="109">
        <v>39983</v>
      </c>
      <c r="G64" s="109"/>
      <c r="H64" s="109">
        <v>39987</v>
      </c>
      <c r="I64" s="109">
        <v>40076</v>
      </c>
      <c r="J64" s="71"/>
      <c r="K64" s="110"/>
    </row>
    <row r="65" spans="1:11">
      <c r="A65" s="71" t="s">
        <v>1236</v>
      </c>
      <c r="B65" s="107" t="s">
        <v>1221</v>
      </c>
      <c r="C65" s="71" t="s">
        <v>2515</v>
      </c>
      <c r="D65" s="71" t="s">
        <v>1237</v>
      </c>
      <c r="E65" s="108">
        <v>510004.08</v>
      </c>
      <c r="F65" s="109">
        <v>39948</v>
      </c>
      <c r="G65" s="109">
        <v>40151</v>
      </c>
      <c r="H65" s="109">
        <v>39975</v>
      </c>
      <c r="I65" s="109">
        <v>39983</v>
      </c>
      <c r="J65" s="71"/>
      <c r="K65" s="110"/>
    </row>
    <row r="66" spans="1:11">
      <c r="A66" s="71" t="s">
        <v>1238</v>
      </c>
      <c r="B66" s="107" t="s">
        <v>2524</v>
      </c>
      <c r="C66" s="71" t="s">
        <v>1239</v>
      </c>
      <c r="D66" s="71" t="s">
        <v>1240</v>
      </c>
      <c r="E66" s="108">
        <v>116318</v>
      </c>
      <c r="F66" s="109">
        <v>39934</v>
      </c>
      <c r="G66" s="109">
        <v>40112</v>
      </c>
      <c r="H66" s="109">
        <v>39944</v>
      </c>
      <c r="I66" s="109">
        <v>39952</v>
      </c>
      <c r="J66" s="71"/>
      <c r="K66" s="110"/>
    </row>
    <row r="67" spans="1:11">
      <c r="A67" s="71" t="s">
        <v>1241</v>
      </c>
      <c r="B67" s="107" t="s">
        <v>1054</v>
      </c>
      <c r="C67" s="71" t="s">
        <v>1242</v>
      </c>
      <c r="D67" s="71" t="s">
        <v>1243</v>
      </c>
      <c r="E67" s="108">
        <v>142000</v>
      </c>
      <c r="F67" s="109">
        <v>39996</v>
      </c>
      <c r="G67" s="109"/>
      <c r="H67" s="109">
        <v>40008</v>
      </c>
      <c r="I67" s="109"/>
      <c r="J67" s="71"/>
      <c r="K67" s="110"/>
    </row>
    <row r="68" spans="1:11">
      <c r="A68" s="71" t="s">
        <v>1244</v>
      </c>
      <c r="B68" s="107" t="s">
        <v>2520</v>
      </c>
      <c r="C68" s="71" t="s">
        <v>1168</v>
      </c>
      <c r="D68" s="71" t="s">
        <v>1245</v>
      </c>
      <c r="E68" s="108">
        <v>596099.02</v>
      </c>
      <c r="F68" s="109">
        <v>39966</v>
      </c>
      <c r="G68" s="109">
        <v>40254</v>
      </c>
      <c r="H68" s="109">
        <v>39973</v>
      </c>
      <c r="I68" s="109"/>
      <c r="J68" s="71"/>
      <c r="K68" s="110"/>
    </row>
    <row r="69" spans="1:11">
      <c r="A69" s="71" t="s">
        <v>1246</v>
      </c>
      <c r="B69" s="107" t="s">
        <v>1247</v>
      </c>
      <c r="C69" s="71" t="s">
        <v>1212</v>
      </c>
      <c r="D69" s="71" t="s">
        <v>1248</v>
      </c>
      <c r="E69" s="108">
        <v>260000</v>
      </c>
      <c r="F69" s="109">
        <v>39955</v>
      </c>
      <c r="G69" s="109"/>
      <c r="H69" s="109">
        <v>39962</v>
      </c>
      <c r="I69" s="109"/>
      <c r="J69" s="71"/>
      <c r="K69" s="110"/>
    </row>
    <row r="70" spans="1:11">
      <c r="A70" s="71" t="s">
        <v>1246</v>
      </c>
      <c r="B70" s="107"/>
      <c r="C70" s="71" t="s">
        <v>1249</v>
      </c>
      <c r="D70" s="71"/>
      <c r="E70" s="108">
        <v>119900</v>
      </c>
      <c r="F70" s="109">
        <v>39967</v>
      </c>
      <c r="G70" s="109"/>
      <c r="H70" s="109">
        <v>39969</v>
      </c>
      <c r="I70" s="109">
        <v>39969</v>
      </c>
      <c r="J70" s="71"/>
      <c r="K70" s="110"/>
    </row>
    <row r="71" spans="1:11">
      <c r="A71" s="71" t="s">
        <v>1250</v>
      </c>
      <c r="B71" s="107"/>
      <c r="C71" s="71" t="s">
        <v>1251</v>
      </c>
      <c r="D71" s="71"/>
      <c r="E71" s="108">
        <v>9844</v>
      </c>
      <c r="F71" s="109">
        <v>39967</v>
      </c>
      <c r="G71" s="109"/>
      <c r="H71" s="109">
        <v>39969</v>
      </c>
      <c r="I71" s="109">
        <v>39969</v>
      </c>
      <c r="J71" s="71"/>
      <c r="K71" s="110"/>
    </row>
    <row r="72" spans="1:11">
      <c r="A72" s="71" t="s">
        <v>1246</v>
      </c>
      <c r="B72" s="107"/>
      <c r="C72" s="71" t="s">
        <v>1252</v>
      </c>
      <c r="D72" s="71"/>
      <c r="E72" s="108">
        <v>6414</v>
      </c>
      <c r="F72" s="109">
        <v>39967</v>
      </c>
      <c r="G72" s="109"/>
      <c r="H72" s="109">
        <v>39979</v>
      </c>
      <c r="I72" s="109">
        <v>39979</v>
      </c>
      <c r="J72" s="71"/>
      <c r="K72" s="110"/>
    </row>
    <row r="73" spans="1:11">
      <c r="A73" s="71" t="s">
        <v>1246</v>
      </c>
      <c r="B73" s="107"/>
      <c r="C73" s="71" t="s">
        <v>1253</v>
      </c>
      <c r="D73" s="71"/>
      <c r="E73" s="108">
        <v>12254</v>
      </c>
      <c r="F73" s="109">
        <v>40059</v>
      </c>
      <c r="G73" s="109"/>
      <c r="H73" s="109">
        <v>39979</v>
      </c>
      <c r="I73" s="109">
        <v>39979</v>
      </c>
      <c r="J73" s="71"/>
      <c r="K73" s="110"/>
    </row>
    <row r="74" spans="1:11">
      <c r="A74" s="71" t="s">
        <v>1246</v>
      </c>
      <c r="B74" s="107"/>
      <c r="C74" s="71" t="s">
        <v>1254</v>
      </c>
      <c r="D74" s="71"/>
      <c r="E74" s="108">
        <v>8000</v>
      </c>
      <c r="F74" s="109">
        <v>39975</v>
      </c>
      <c r="G74" s="109"/>
      <c r="H74" s="109">
        <v>39979</v>
      </c>
      <c r="I74" s="109">
        <v>39979</v>
      </c>
      <c r="J74" s="71"/>
      <c r="K74" s="110"/>
    </row>
    <row r="75" spans="1:11">
      <c r="A75" s="71" t="s">
        <v>1246</v>
      </c>
      <c r="B75" s="107"/>
      <c r="C75" s="71" t="s">
        <v>1255</v>
      </c>
      <c r="D75" s="71"/>
      <c r="E75" s="108">
        <v>10561</v>
      </c>
      <c r="F75" s="109">
        <v>39975</v>
      </c>
      <c r="G75" s="109"/>
      <c r="H75" s="109">
        <v>39979</v>
      </c>
      <c r="I75" s="109">
        <v>39979</v>
      </c>
      <c r="J75" s="71"/>
      <c r="K75" s="110"/>
    </row>
    <row r="76" spans="1:11">
      <c r="A76" s="71" t="s">
        <v>1246</v>
      </c>
      <c r="B76" s="107"/>
      <c r="C76" s="71" t="s">
        <v>1256</v>
      </c>
      <c r="D76" s="71"/>
      <c r="E76" s="108">
        <v>3386</v>
      </c>
      <c r="F76" s="109">
        <v>39975</v>
      </c>
      <c r="G76" s="109"/>
      <c r="H76" s="109">
        <v>39979</v>
      </c>
      <c r="I76" s="109">
        <v>39979</v>
      </c>
      <c r="J76" s="71"/>
      <c r="K76" s="110"/>
    </row>
    <row r="77" spans="1:11">
      <c r="A77" s="71" t="s">
        <v>1258</v>
      </c>
      <c r="B77" s="107" t="s">
        <v>2520</v>
      </c>
      <c r="C77" s="71" t="s">
        <v>1080</v>
      </c>
      <c r="D77" s="71" t="s">
        <v>1259</v>
      </c>
      <c r="E77" s="108">
        <v>803000</v>
      </c>
      <c r="F77" s="109">
        <v>40079</v>
      </c>
      <c r="G77" s="109"/>
      <c r="H77" s="109">
        <v>40088</v>
      </c>
      <c r="I77" s="109">
        <v>40088</v>
      </c>
      <c r="J77" s="71"/>
      <c r="K77" s="110"/>
    </row>
    <row r="78" spans="1:11">
      <c r="A78" s="71" t="s">
        <v>1260</v>
      </c>
      <c r="B78" s="107" t="s">
        <v>1054</v>
      </c>
      <c r="C78" s="71" t="s">
        <v>1209</v>
      </c>
      <c r="D78" s="71" t="s">
        <v>1261</v>
      </c>
      <c r="E78" s="108">
        <v>246471.61</v>
      </c>
      <c r="F78" s="109">
        <v>39980</v>
      </c>
      <c r="G78" s="109">
        <v>40088</v>
      </c>
      <c r="H78" s="109">
        <v>39987</v>
      </c>
      <c r="I78" s="109">
        <v>39996</v>
      </c>
      <c r="J78" s="71"/>
      <c r="K78" s="110"/>
    </row>
    <row r="79" spans="1:11">
      <c r="A79" s="71" t="s">
        <v>1264</v>
      </c>
      <c r="B79" s="107" t="s">
        <v>2520</v>
      </c>
      <c r="C79" s="71" t="s">
        <v>1265</v>
      </c>
      <c r="D79" s="71" t="s">
        <v>1266</v>
      </c>
      <c r="E79" s="108">
        <v>7370400.4500000002</v>
      </c>
      <c r="F79" s="109">
        <v>39959</v>
      </c>
      <c r="G79" s="109">
        <v>40282</v>
      </c>
      <c r="H79" s="109">
        <v>39967</v>
      </c>
      <c r="I79" s="109">
        <v>39968</v>
      </c>
      <c r="J79" s="71"/>
      <c r="K79" s="110"/>
    </row>
    <row r="80" spans="1:11">
      <c r="A80" s="71" t="s">
        <v>1269</v>
      </c>
      <c r="B80" s="107" t="s">
        <v>1221</v>
      </c>
      <c r="C80" s="71" t="s">
        <v>1270</v>
      </c>
      <c r="D80" s="71" t="s">
        <v>1271</v>
      </c>
      <c r="E80" s="108">
        <v>63611.12</v>
      </c>
      <c r="F80" s="109">
        <v>39979</v>
      </c>
      <c r="G80" s="109">
        <v>40134</v>
      </c>
      <c r="H80" s="109">
        <v>39988</v>
      </c>
      <c r="I80" s="109">
        <v>40002</v>
      </c>
      <c r="J80" s="71"/>
      <c r="K80" s="110"/>
    </row>
    <row r="81" spans="1:11">
      <c r="A81" s="71" t="s">
        <v>1272</v>
      </c>
      <c r="B81" s="107" t="s">
        <v>1221</v>
      </c>
      <c r="C81" s="71" t="s">
        <v>1273</v>
      </c>
      <c r="D81" s="71" t="s">
        <v>1274</v>
      </c>
      <c r="E81" s="108">
        <v>90922.71</v>
      </c>
      <c r="F81" s="109">
        <v>39979</v>
      </c>
      <c r="G81" s="109">
        <v>40115</v>
      </c>
      <c r="H81" s="109">
        <v>39988</v>
      </c>
      <c r="I81" s="109">
        <v>40002</v>
      </c>
      <c r="J81" s="71"/>
      <c r="K81" s="110"/>
    </row>
    <row r="82" spans="1:11">
      <c r="A82" s="71" t="s">
        <v>1275</v>
      </c>
      <c r="B82" s="107" t="s">
        <v>2524</v>
      </c>
      <c r="C82" s="71" t="s">
        <v>1276</v>
      </c>
      <c r="D82" s="71" t="s">
        <v>1277</v>
      </c>
      <c r="E82" s="108">
        <v>90077</v>
      </c>
      <c r="F82" s="109">
        <v>40014</v>
      </c>
      <c r="G82" s="109"/>
      <c r="H82" s="109">
        <v>39990</v>
      </c>
      <c r="I82" s="109">
        <v>40002</v>
      </c>
      <c r="J82" s="71"/>
      <c r="K82" s="110"/>
    </row>
    <row r="83" spans="1:11">
      <c r="A83" s="71" t="s">
        <v>1278</v>
      </c>
      <c r="B83" s="107" t="s">
        <v>1054</v>
      </c>
      <c r="C83" s="71" t="s">
        <v>1279</v>
      </c>
      <c r="D83" s="71" t="s">
        <v>1280</v>
      </c>
      <c r="E83" s="108">
        <v>213176</v>
      </c>
      <c r="F83" s="109">
        <v>40021</v>
      </c>
      <c r="G83" s="109"/>
      <c r="H83" s="109">
        <v>40022</v>
      </c>
      <c r="I83" s="109">
        <v>40028</v>
      </c>
      <c r="J83" s="71"/>
      <c r="K83" s="110"/>
    </row>
    <row r="84" spans="1:11">
      <c r="A84" s="71" t="s">
        <v>1281</v>
      </c>
      <c r="B84" s="107" t="s">
        <v>2524</v>
      </c>
      <c r="C84" s="71" t="s">
        <v>1229</v>
      </c>
      <c r="D84" s="71" t="s">
        <v>1282</v>
      </c>
      <c r="E84" s="108">
        <v>210210</v>
      </c>
      <c r="F84" s="109">
        <v>40003</v>
      </c>
      <c r="G84" s="109"/>
      <c r="H84" s="109">
        <v>40084</v>
      </c>
      <c r="I84" s="109">
        <v>40093</v>
      </c>
      <c r="J84" s="71"/>
      <c r="K84" s="110"/>
    </row>
    <row r="85" spans="1:11">
      <c r="A85" s="71" t="s">
        <v>1283</v>
      </c>
      <c r="B85" s="107" t="s">
        <v>1096</v>
      </c>
      <c r="C85" s="71" t="s">
        <v>1284</v>
      </c>
      <c r="D85" s="71" t="s">
        <v>1285</v>
      </c>
      <c r="E85" s="108">
        <v>718157</v>
      </c>
      <c r="F85" s="109">
        <v>39972</v>
      </c>
      <c r="G85" s="109">
        <v>40088</v>
      </c>
      <c r="H85" s="109">
        <v>39974</v>
      </c>
      <c r="I85" s="109">
        <v>39980</v>
      </c>
      <c r="J85" s="71"/>
      <c r="K85" s="110"/>
    </row>
    <row r="86" spans="1:11">
      <c r="A86" s="71" t="s">
        <v>1288</v>
      </c>
      <c r="B86" s="107" t="s">
        <v>2524</v>
      </c>
      <c r="C86" s="71" t="s">
        <v>1289</v>
      </c>
      <c r="D86" s="71" t="s">
        <v>1290</v>
      </c>
      <c r="E86" s="108">
        <v>66700</v>
      </c>
      <c r="F86" s="109">
        <v>40010</v>
      </c>
      <c r="G86" s="109"/>
      <c r="H86" s="109">
        <v>40031</v>
      </c>
      <c r="I86" s="109">
        <v>40037</v>
      </c>
      <c r="J86" s="71"/>
      <c r="K86" s="110"/>
    </row>
    <row r="87" spans="1:11">
      <c r="A87" s="71" t="s">
        <v>1291</v>
      </c>
      <c r="B87" s="107" t="s">
        <v>2520</v>
      </c>
      <c r="C87" s="71" t="s">
        <v>1292</v>
      </c>
      <c r="D87" s="71" t="s">
        <v>1293</v>
      </c>
      <c r="E87" s="108">
        <v>104069.4</v>
      </c>
      <c r="F87" s="109">
        <v>40003</v>
      </c>
      <c r="G87" s="109">
        <v>40254</v>
      </c>
      <c r="H87" s="109">
        <v>40011</v>
      </c>
      <c r="I87" s="109">
        <v>40011</v>
      </c>
      <c r="J87" s="71"/>
      <c r="K87" s="110"/>
    </row>
    <row r="88" spans="1:11">
      <c r="A88" s="71" t="s">
        <v>1294</v>
      </c>
      <c r="B88" s="107" t="s">
        <v>1295</v>
      </c>
      <c r="C88" s="71" t="s">
        <v>1296</v>
      </c>
      <c r="D88" s="71" t="s">
        <v>1297</v>
      </c>
      <c r="E88" s="108">
        <v>600000</v>
      </c>
      <c r="F88" s="109">
        <v>40000</v>
      </c>
      <c r="G88" s="109"/>
      <c r="H88" s="109">
        <v>40001</v>
      </c>
      <c r="I88" s="109"/>
      <c r="J88" s="71"/>
      <c r="K88" s="110"/>
    </row>
    <row r="89" spans="1:11">
      <c r="A89" s="71" t="s">
        <v>1298</v>
      </c>
      <c r="B89" s="107" t="s">
        <v>1054</v>
      </c>
      <c r="C89" s="71" t="s">
        <v>1299</v>
      </c>
      <c r="D89" s="71" t="s">
        <v>1300</v>
      </c>
      <c r="E89" s="108">
        <v>237102.18</v>
      </c>
      <c r="F89" s="109">
        <v>40029</v>
      </c>
      <c r="G89" s="109">
        <v>40112</v>
      </c>
      <c r="H89" s="109">
        <v>40043</v>
      </c>
      <c r="I89" s="109">
        <v>40112</v>
      </c>
      <c r="J89" s="71"/>
      <c r="K89" s="110"/>
    </row>
    <row r="90" spans="1:11">
      <c r="A90" s="71" t="s">
        <v>1303</v>
      </c>
      <c r="B90" s="107" t="s">
        <v>2520</v>
      </c>
      <c r="C90" s="71" t="s">
        <v>1304</v>
      </c>
      <c r="D90" s="71" t="s">
        <v>1305</v>
      </c>
      <c r="E90" s="108">
        <v>550000</v>
      </c>
      <c r="F90" s="109">
        <v>40071</v>
      </c>
      <c r="G90" s="109"/>
      <c r="H90" s="109">
        <v>40079</v>
      </c>
      <c r="I90" s="109"/>
      <c r="J90" s="71"/>
      <c r="K90" s="110"/>
    </row>
    <row r="91" spans="1:11">
      <c r="A91" s="71" t="s">
        <v>1308</v>
      </c>
      <c r="B91" s="107" t="s">
        <v>1096</v>
      </c>
      <c r="C91" s="71" t="s">
        <v>1309</v>
      </c>
      <c r="D91" s="71" t="s">
        <v>1310</v>
      </c>
      <c r="E91" s="108">
        <v>105000</v>
      </c>
      <c r="F91" s="109">
        <v>40035</v>
      </c>
      <c r="G91" s="109"/>
      <c r="H91" s="109">
        <v>40037</v>
      </c>
      <c r="I91" s="109"/>
      <c r="J91" s="71"/>
      <c r="K91" s="110"/>
    </row>
    <row r="92" spans="1:11">
      <c r="A92" s="71" t="s">
        <v>1312</v>
      </c>
      <c r="B92" s="107" t="s">
        <v>2520</v>
      </c>
      <c r="C92" s="71" t="s">
        <v>1313</v>
      </c>
      <c r="D92" s="71" t="s">
        <v>1314</v>
      </c>
      <c r="E92" s="108">
        <v>148490.85999999999</v>
      </c>
      <c r="F92" s="109">
        <v>40050</v>
      </c>
      <c r="G92" s="109">
        <v>40260</v>
      </c>
      <c r="H92" s="109">
        <v>40065</v>
      </c>
      <c r="I92" s="109">
        <v>40066</v>
      </c>
      <c r="J92" s="71"/>
      <c r="K92" s="110"/>
    </row>
    <row r="93" spans="1:11">
      <c r="A93" s="71" t="s">
        <v>1316</v>
      </c>
      <c r="B93" s="107" t="s">
        <v>1317</v>
      </c>
      <c r="C93" s="71" t="s">
        <v>1212</v>
      </c>
      <c r="D93" s="71" t="s">
        <v>1318</v>
      </c>
      <c r="E93" s="108">
        <v>250000</v>
      </c>
      <c r="F93" s="109">
        <v>40039</v>
      </c>
      <c r="G93" s="109"/>
      <c r="H93" s="109">
        <v>40046</v>
      </c>
      <c r="I93" s="109"/>
      <c r="J93" s="71"/>
      <c r="K93" s="110"/>
    </row>
    <row r="94" spans="1:11">
      <c r="A94" s="71" t="s">
        <v>1316</v>
      </c>
      <c r="B94" s="107"/>
      <c r="C94" s="71" t="s">
        <v>2505</v>
      </c>
      <c r="D94" s="71"/>
      <c r="E94" s="108">
        <v>65308</v>
      </c>
      <c r="F94" s="109">
        <v>40042</v>
      </c>
      <c r="G94" s="109"/>
      <c r="H94" s="109">
        <v>40044</v>
      </c>
      <c r="I94" s="109">
        <v>40044</v>
      </c>
      <c r="J94" s="71"/>
      <c r="K94" s="110"/>
    </row>
    <row r="95" spans="1:11">
      <c r="A95" s="71" t="s">
        <v>1316</v>
      </c>
      <c r="B95" s="107"/>
      <c r="C95" s="71" t="s">
        <v>1319</v>
      </c>
      <c r="D95" s="71"/>
      <c r="E95" s="108">
        <v>216712</v>
      </c>
      <c r="F95" s="109">
        <v>40032</v>
      </c>
      <c r="G95" s="109"/>
      <c r="H95" s="109">
        <v>40035</v>
      </c>
      <c r="I95" s="109">
        <v>40037</v>
      </c>
      <c r="J95" s="71"/>
      <c r="K95" s="110"/>
    </row>
    <row r="96" spans="1:11">
      <c r="A96" s="71" t="s">
        <v>1316</v>
      </c>
      <c r="B96" s="107"/>
      <c r="C96" s="71" t="s">
        <v>1253</v>
      </c>
      <c r="D96" s="71"/>
      <c r="E96" s="108">
        <v>1202556</v>
      </c>
      <c r="F96" s="109">
        <v>40066</v>
      </c>
      <c r="G96" s="109"/>
      <c r="H96" s="109">
        <v>40078</v>
      </c>
      <c r="I96" s="109"/>
      <c r="J96" s="71"/>
      <c r="K96" s="110"/>
    </row>
    <row r="97" spans="1:11">
      <c r="A97" s="71" t="s">
        <v>1320</v>
      </c>
      <c r="B97" s="107" t="s">
        <v>2520</v>
      </c>
      <c r="C97" s="71" t="s">
        <v>1321</v>
      </c>
      <c r="D97" s="71" t="s">
        <v>1322</v>
      </c>
      <c r="E97" s="108">
        <v>244364.89</v>
      </c>
      <c r="F97" s="109">
        <v>40079</v>
      </c>
      <c r="G97" s="109">
        <v>40130</v>
      </c>
      <c r="H97" s="109">
        <v>40079</v>
      </c>
      <c r="I97" s="109">
        <v>40037</v>
      </c>
      <c r="J97" s="71"/>
      <c r="K97" s="110"/>
    </row>
    <row r="98" spans="1:11">
      <c r="A98" s="71" t="s">
        <v>1323</v>
      </c>
      <c r="B98" s="107" t="s">
        <v>1054</v>
      </c>
      <c r="C98" s="71" t="s">
        <v>1324</v>
      </c>
      <c r="D98" s="71" t="s">
        <v>1325</v>
      </c>
      <c r="E98" s="108">
        <v>244364.89</v>
      </c>
      <c r="F98" s="109">
        <v>40078</v>
      </c>
      <c r="G98" s="109"/>
      <c r="H98" s="109">
        <v>40078</v>
      </c>
      <c r="I98" s="109"/>
      <c r="J98" s="71"/>
      <c r="K98" s="110"/>
    </row>
    <row r="99" spans="1:11">
      <c r="A99" s="71" t="s">
        <v>1328</v>
      </c>
      <c r="B99" s="107" t="s">
        <v>1054</v>
      </c>
      <c r="C99" s="71" t="s">
        <v>1209</v>
      </c>
      <c r="D99" s="71" t="s">
        <v>1329</v>
      </c>
      <c r="E99" s="108">
        <v>129782</v>
      </c>
      <c r="F99" s="109">
        <v>40071</v>
      </c>
      <c r="G99" s="109">
        <v>40374</v>
      </c>
      <c r="H99" s="109">
        <v>40099</v>
      </c>
      <c r="I99" s="109">
        <v>40108</v>
      </c>
      <c r="J99" s="71"/>
      <c r="K99" s="110"/>
    </row>
    <row r="100" spans="1:11">
      <c r="A100" s="71" t="s">
        <v>1331</v>
      </c>
      <c r="B100" s="107" t="s">
        <v>2520</v>
      </c>
      <c r="C100" s="71" t="s">
        <v>1332</v>
      </c>
      <c r="D100" s="71" t="s">
        <v>1333</v>
      </c>
      <c r="E100" s="108">
        <v>950000</v>
      </c>
      <c r="F100" s="109">
        <v>40085</v>
      </c>
      <c r="G100" s="109"/>
      <c r="H100" s="109">
        <v>40105</v>
      </c>
      <c r="I100" s="109"/>
      <c r="J100" s="71"/>
      <c r="K100" s="110"/>
    </row>
    <row r="101" spans="1:11">
      <c r="A101" s="71" t="s">
        <v>1335</v>
      </c>
      <c r="B101" s="107" t="s">
        <v>1336</v>
      </c>
      <c r="C101" s="71" t="s">
        <v>1212</v>
      </c>
      <c r="D101" s="71" t="s">
        <v>1337</v>
      </c>
      <c r="E101" s="108">
        <v>391996</v>
      </c>
      <c r="F101" s="109">
        <v>39954</v>
      </c>
      <c r="G101" s="109"/>
      <c r="H101" s="109">
        <v>39958</v>
      </c>
      <c r="I101" s="109"/>
      <c r="J101" s="71"/>
      <c r="K101" s="110"/>
    </row>
    <row r="102" spans="1:11">
      <c r="A102" s="71" t="s">
        <v>1335</v>
      </c>
      <c r="B102" s="107"/>
      <c r="C102" s="71" t="s">
        <v>1338</v>
      </c>
      <c r="D102" s="71"/>
      <c r="E102" s="108">
        <v>82600</v>
      </c>
      <c r="F102" s="109">
        <v>39982</v>
      </c>
      <c r="G102" s="109"/>
      <c r="H102" s="109">
        <v>39986</v>
      </c>
      <c r="I102" s="109"/>
      <c r="J102" s="71"/>
      <c r="K102" s="110"/>
    </row>
    <row r="103" spans="1:11">
      <c r="A103" s="71" t="s">
        <v>1335</v>
      </c>
      <c r="B103" s="107"/>
      <c r="C103" s="71" t="s">
        <v>1339</v>
      </c>
      <c r="D103" s="71"/>
      <c r="E103" s="108">
        <v>168057</v>
      </c>
      <c r="F103" s="109">
        <v>40003</v>
      </c>
      <c r="G103" s="109"/>
      <c r="H103" s="109">
        <v>40014</v>
      </c>
      <c r="I103" s="109"/>
      <c r="J103" s="71"/>
      <c r="K103" s="110"/>
    </row>
    <row r="104" spans="1:11">
      <c r="A104" s="71" t="s">
        <v>1335</v>
      </c>
      <c r="B104" s="107"/>
      <c r="C104" s="71" t="s">
        <v>1340</v>
      </c>
      <c r="D104" s="71"/>
      <c r="E104" s="108">
        <v>72669</v>
      </c>
      <c r="F104" s="109">
        <v>39968</v>
      </c>
      <c r="G104" s="109"/>
      <c r="H104" s="109">
        <v>39972</v>
      </c>
      <c r="I104" s="109"/>
      <c r="J104" s="71"/>
      <c r="K104" s="110"/>
    </row>
    <row r="105" spans="1:11">
      <c r="A105" s="71" t="s">
        <v>1335</v>
      </c>
      <c r="B105" s="107"/>
      <c r="C105" s="71" t="s">
        <v>1341</v>
      </c>
      <c r="D105" s="71"/>
      <c r="E105" s="108">
        <v>178000</v>
      </c>
      <c r="F105" s="109">
        <v>39968</v>
      </c>
      <c r="G105" s="109"/>
      <c r="H105" s="109">
        <v>39987</v>
      </c>
      <c r="I105" s="109"/>
      <c r="J105" s="71"/>
      <c r="K105" s="110"/>
    </row>
    <row r="106" spans="1:11">
      <c r="A106" s="71" t="s">
        <v>1335</v>
      </c>
      <c r="B106" s="107"/>
      <c r="C106" s="71" t="s">
        <v>1342</v>
      </c>
      <c r="D106" s="71"/>
      <c r="E106" s="108">
        <v>260000</v>
      </c>
      <c r="F106" s="109">
        <v>39945</v>
      </c>
      <c r="G106" s="109"/>
      <c r="H106" s="109">
        <v>39952</v>
      </c>
      <c r="I106" s="109"/>
      <c r="J106" s="71"/>
      <c r="K106" s="110"/>
    </row>
    <row r="107" spans="1:11">
      <c r="A107" s="71" t="s">
        <v>1335</v>
      </c>
      <c r="B107" s="107"/>
      <c r="C107" s="71" t="s">
        <v>1229</v>
      </c>
      <c r="D107" s="71"/>
      <c r="E107" s="108">
        <v>210121</v>
      </c>
      <c r="F107" s="109">
        <v>40003</v>
      </c>
      <c r="G107" s="109"/>
      <c r="H107" s="109">
        <v>40008</v>
      </c>
      <c r="I107" s="109"/>
      <c r="J107" s="71"/>
      <c r="K107" s="110"/>
    </row>
    <row r="108" spans="1:11">
      <c r="A108" s="71" t="s">
        <v>1335</v>
      </c>
      <c r="B108" s="107"/>
      <c r="C108" s="71" t="s">
        <v>1137</v>
      </c>
      <c r="D108" s="71"/>
      <c r="E108" s="108">
        <v>27992</v>
      </c>
      <c r="F108" s="109">
        <v>40003</v>
      </c>
      <c r="G108" s="109"/>
      <c r="H108" s="109">
        <v>40008</v>
      </c>
      <c r="I108" s="109"/>
      <c r="J108" s="71"/>
      <c r="K108" s="110"/>
    </row>
    <row r="109" spans="1:11">
      <c r="A109" s="71" t="s">
        <v>1335</v>
      </c>
      <c r="B109" s="107"/>
      <c r="C109" s="71" t="s">
        <v>1052</v>
      </c>
      <c r="D109" s="71"/>
      <c r="E109" s="108">
        <v>207788</v>
      </c>
      <c r="F109" s="109">
        <v>39975</v>
      </c>
      <c r="G109" s="109"/>
      <c r="H109" s="109">
        <v>39968</v>
      </c>
      <c r="I109" s="109"/>
      <c r="J109" s="71"/>
      <c r="K109" s="110"/>
    </row>
    <row r="110" spans="1:11">
      <c r="A110" s="71" t="s">
        <v>1335</v>
      </c>
      <c r="B110" s="107"/>
      <c r="C110" s="71" t="s">
        <v>1343</v>
      </c>
      <c r="D110" s="71"/>
      <c r="E110" s="108">
        <v>95412</v>
      </c>
      <c r="F110" s="109">
        <v>40003</v>
      </c>
      <c r="G110" s="109"/>
      <c r="H110" s="109">
        <v>40014</v>
      </c>
      <c r="I110" s="109"/>
      <c r="J110" s="71"/>
      <c r="K110" s="110"/>
    </row>
    <row r="111" spans="1:11">
      <c r="A111" s="71" t="s">
        <v>1335</v>
      </c>
      <c r="B111" s="107"/>
      <c r="C111" s="71" t="s">
        <v>1344</v>
      </c>
      <c r="D111" s="71"/>
      <c r="E111" s="108">
        <v>86070</v>
      </c>
      <c r="F111" s="109">
        <v>39944</v>
      </c>
      <c r="G111" s="109"/>
      <c r="H111" s="109">
        <v>39946</v>
      </c>
      <c r="I111" s="109"/>
      <c r="J111" s="71"/>
      <c r="K111" s="110"/>
    </row>
    <row r="112" spans="1:11">
      <c r="A112" s="71" t="s">
        <v>1335</v>
      </c>
      <c r="B112" s="107"/>
      <c r="C112" s="71" t="s">
        <v>1345</v>
      </c>
      <c r="D112" s="71"/>
      <c r="E112" s="108">
        <v>36783</v>
      </c>
      <c r="F112" s="109">
        <v>40021</v>
      </c>
      <c r="G112" s="109"/>
      <c r="H112" s="109">
        <v>40023</v>
      </c>
      <c r="I112" s="109"/>
      <c r="J112" s="71"/>
      <c r="K112" s="110"/>
    </row>
    <row r="113" spans="1:11">
      <c r="A113" s="71" t="s">
        <v>1335</v>
      </c>
      <c r="B113" s="107"/>
      <c r="C113" s="71" t="s">
        <v>1346</v>
      </c>
      <c r="D113" s="71"/>
      <c r="E113" s="108">
        <v>136003</v>
      </c>
      <c r="F113" s="109">
        <v>40001</v>
      </c>
      <c r="G113" s="109"/>
      <c r="H113" s="109">
        <v>40007</v>
      </c>
      <c r="I113" s="109"/>
      <c r="J113" s="71"/>
      <c r="K113" s="110"/>
    </row>
    <row r="114" spans="1:11">
      <c r="A114" s="71" t="s">
        <v>1335</v>
      </c>
      <c r="B114" s="107"/>
      <c r="C114" s="71" t="s">
        <v>1347</v>
      </c>
      <c r="D114" s="71"/>
      <c r="E114" s="108">
        <v>2000000</v>
      </c>
      <c r="F114" s="109">
        <v>39979</v>
      </c>
      <c r="G114" s="109"/>
      <c r="H114" s="109">
        <v>39984</v>
      </c>
      <c r="I114" s="109"/>
      <c r="J114" s="71"/>
      <c r="K114" s="110"/>
    </row>
    <row r="115" spans="1:11">
      <c r="A115" s="71" t="s">
        <v>1335</v>
      </c>
      <c r="B115" s="107"/>
      <c r="C115" s="71" t="s">
        <v>1348</v>
      </c>
      <c r="D115" s="71"/>
      <c r="E115" s="108">
        <v>25140</v>
      </c>
      <c r="F115" s="109">
        <v>40004</v>
      </c>
      <c r="G115" s="109"/>
      <c r="H115" s="109">
        <v>40009</v>
      </c>
      <c r="I115" s="109"/>
      <c r="J115" s="71"/>
      <c r="K115" s="110"/>
    </row>
    <row r="116" spans="1:11">
      <c r="A116" s="71" t="s">
        <v>1349</v>
      </c>
      <c r="B116" s="107" t="s">
        <v>1336</v>
      </c>
      <c r="C116" s="71" t="s">
        <v>1212</v>
      </c>
      <c r="D116" s="71" t="s">
        <v>1337</v>
      </c>
      <c r="E116" s="108">
        <v>68900</v>
      </c>
      <c r="F116" s="109">
        <v>40014</v>
      </c>
      <c r="G116" s="109"/>
      <c r="H116" s="109">
        <v>40015</v>
      </c>
      <c r="I116" s="109"/>
      <c r="J116" s="71"/>
      <c r="K116" s="110"/>
    </row>
    <row r="117" spans="1:11">
      <c r="A117" s="71" t="s">
        <v>1349</v>
      </c>
      <c r="B117" s="107"/>
      <c r="C117" s="71" t="s">
        <v>1340</v>
      </c>
      <c r="D117" s="71"/>
      <c r="E117" s="108">
        <v>55552</v>
      </c>
      <c r="F117" s="109">
        <v>40024</v>
      </c>
      <c r="G117" s="109"/>
      <c r="H117" s="109">
        <v>40029</v>
      </c>
      <c r="I117" s="109"/>
      <c r="J117" s="71"/>
      <c r="K117" s="110"/>
    </row>
    <row r="118" spans="1:11">
      <c r="A118" s="71" t="s">
        <v>1349</v>
      </c>
      <c r="B118" s="107"/>
      <c r="C118" s="71" t="s">
        <v>1341</v>
      </c>
      <c r="D118" s="71"/>
      <c r="E118" s="108">
        <v>278000</v>
      </c>
      <c r="F118" s="109">
        <v>40024</v>
      </c>
      <c r="G118" s="109"/>
      <c r="H118" s="109">
        <v>40030</v>
      </c>
      <c r="I118" s="109"/>
      <c r="J118" s="71"/>
      <c r="K118" s="110"/>
    </row>
    <row r="119" spans="1:11">
      <c r="A119" s="71" t="s">
        <v>1349</v>
      </c>
      <c r="B119" s="107"/>
      <c r="C119" s="71" t="s">
        <v>1341</v>
      </c>
      <c r="D119" s="71"/>
      <c r="E119" s="108">
        <v>84747</v>
      </c>
      <c r="F119" s="109">
        <v>40024</v>
      </c>
      <c r="G119" s="109"/>
      <c r="H119" s="109">
        <v>40030</v>
      </c>
      <c r="I119" s="109"/>
      <c r="J119" s="71"/>
      <c r="K119" s="110"/>
    </row>
    <row r="120" spans="1:11">
      <c r="A120" s="71" t="s">
        <v>1349</v>
      </c>
      <c r="B120" s="107"/>
      <c r="C120" s="71" t="s">
        <v>1350</v>
      </c>
      <c r="D120" s="71"/>
      <c r="E120" s="108">
        <v>127000</v>
      </c>
      <c r="F120" s="109">
        <v>40024</v>
      </c>
      <c r="G120" s="109"/>
      <c r="H120" s="109">
        <v>40030</v>
      </c>
      <c r="I120" s="109"/>
      <c r="J120" s="71"/>
      <c r="K120" s="110"/>
    </row>
    <row r="121" spans="1:11">
      <c r="A121" s="71" t="s">
        <v>1349</v>
      </c>
      <c r="B121" s="107"/>
      <c r="C121" s="71" t="s">
        <v>1351</v>
      </c>
      <c r="D121" s="71"/>
      <c r="E121" s="108">
        <v>529007</v>
      </c>
      <c r="F121" s="109">
        <v>40045</v>
      </c>
      <c r="G121" s="109"/>
      <c r="H121" s="109">
        <v>40050</v>
      </c>
      <c r="I121" s="109"/>
      <c r="J121" s="71"/>
      <c r="K121" s="110"/>
    </row>
    <row r="122" spans="1:11">
      <c r="A122" s="71" t="s">
        <v>1349</v>
      </c>
      <c r="B122" s="107"/>
      <c r="C122" s="71" t="s">
        <v>1352</v>
      </c>
      <c r="D122" s="71"/>
      <c r="E122" s="108">
        <v>128249</v>
      </c>
      <c r="F122" s="109">
        <v>40042</v>
      </c>
      <c r="G122" s="109"/>
      <c r="H122" s="109">
        <v>40044</v>
      </c>
      <c r="I122" s="109"/>
      <c r="J122" s="71"/>
      <c r="K122" s="110"/>
    </row>
    <row r="123" spans="1:11">
      <c r="A123" s="71" t="s">
        <v>1349</v>
      </c>
      <c r="B123" s="107"/>
      <c r="C123" s="71" t="s">
        <v>2514</v>
      </c>
      <c r="D123" s="71"/>
      <c r="E123" s="108">
        <v>31387</v>
      </c>
      <c r="F123" s="109">
        <v>40064</v>
      </c>
      <c r="G123" s="109"/>
      <c r="H123" s="109">
        <v>40065</v>
      </c>
      <c r="I123" s="109"/>
      <c r="J123" s="71"/>
      <c r="K123" s="110"/>
    </row>
    <row r="124" spans="1:11">
      <c r="A124" s="71" t="s">
        <v>1349</v>
      </c>
      <c r="B124" s="107"/>
      <c r="C124" s="71" t="s">
        <v>1353</v>
      </c>
      <c r="D124" s="71"/>
      <c r="E124" s="108">
        <v>128249</v>
      </c>
      <c r="F124" s="109">
        <v>40044</v>
      </c>
      <c r="G124" s="109"/>
      <c r="H124" s="109"/>
      <c r="I124" s="109"/>
      <c r="J124" s="71"/>
      <c r="K124" s="110"/>
    </row>
    <row r="125" spans="1:11">
      <c r="A125" s="71" t="s">
        <v>1349</v>
      </c>
      <c r="B125" s="107"/>
      <c r="C125" s="71" t="s">
        <v>1347</v>
      </c>
      <c r="D125" s="71"/>
      <c r="E125" s="108">
        <v>36783</v>
      </c>
      <c r="F125" s="109">
        <v>40023</v>
      </c>
      <c r="G125" s="109"/>
      <c r="H125" s="109" t="s">
        <v>1354</v>
      </c>
      <c r="I125" s="109"/>
      <c r="J125" s="71"/>
      <c r="K125" s="110"/>
    </row>
    <row r="126" spans="1:11">
      <c r="A126" s="17" t="s">
        <v>2494</v>
      </c>
      <c r="B126" s="107"/>
      <c r="C126" s="71"/>
      <c r="D126" s="71"/>
      <c r="E126" s="112">
        <f>SUM(E6:E125)</f>
        <v>134316280.792</v>
      </c>
      <c r="F126" s="109"/>
      <c r="G126" s="109"/>
      <c r="H126" s="109"/>
      <c r="I126" s="109"/>
      <c r="J126" s="71"/>
      <c r="K126" s="110"/>
    </row>
    <row r="127" spans="1:11">
      <c r="A127" s="71"/>
      <c r="B127" s="107"/>
      <c r="C127" s="71"/>
      <c r="D127" s="71"/>
      <c r="E127" s="108"/>
      <c r="F127" s="109"/>
      <c r="G127" s="109"/>
      <c r="H127" s="109"/>
      <c r="I127" s="109"/>
      <c r="J127" s="71"/>
      <c r="K127" s="110"/>
    </row>
    <row r="128" spans="1:11">
      <c r="A128" s="71"/>
      <c r="B128" s="107"/>
      <c r="C128" s="71"/>
      <c r="D128" s="71"/>
      <c r="E128" s="108"/>
      <c r="F128" s="109"/>
      <c r="G128" s="109"/>
      <c r="H128" s="109"/>
      <c r="I128" s="109"/>
      <c r="J128" s="71"/>
      <c r="K128" s="110"/>
    </row>
    <row r="129" spans="1:11">
      <c r="A129" s="17" t="s">
        <v>2495</v>
      </c>
      <c r="B129" s="107"/>
      <c r="C129" s="71"/>
      <c r="D129" s="96"/>
      <c r="E129" s="108"/>
      <c r="F129" s="109"/>
      <c r="G129" s="109"/>
      <c r="H129" s="109"/>
      <c r="I129" s="109"/>
      <c r="J129" s="71"/>
      <c r="K129" s="110"/>
    </row>
    <row r="130" spans="1:11">
      <c r="A130" s="71" t="s">
        <v>1394</v>
      </c>
      <c r="B130" s="107" t="s">
        <v>2509</v>
      </c>
      <c r="C130" s="71" t="s">
        <v>1395</v>
      </c>
      <c r="D130" s="71" t="s">
        <v>1396</v>
      </c>
      <c r="E130" s="108">
        <v>27000000</v>
      </c>
      <c r="F130" s="109">
        <v>40115</v>
      </c>
      <c r="G130" s="109"/>
      <c r="H130" s="109">
        <v>40147</v>
      </c>
      <c r="I130" s="109"/>
      <c r="J130" s="71"/>
      <c r="K130" s="110"/>
    </row>
    <row r="131" spans="1:11">
      <c r="A131" s="71" t="s">
        <v>1410</v>
      </c>
      <c r="B131" s="107" t="s">
        <v>1411</v>
      </c>
      <c r="C131" s="71" t="s">
        <v>1412</v>
      </c>
      <c r="D131" s="71" t="s">
        <v>1413</v>
      </c>
      <c r="E131" s="108">
        <v>191465</v>
      </c>
      <c r="F131" s="109">
        <v>40101</v>
      </c>
      <c r="G131" s="109"/>
      <c r="H131" s="109">
        <v>40505</v>
      </c>
      <c r="I131" s="109">
        <v>40281</v>
      </c>
      <c r="J131" s="71"/>
      <c r="K131" s="110"/>
    </row>
    <row r="132" spans="1:11">
      <c r="A132" s="71" t="s">
        <v>1414</v>
      </c>
      <c r="B132" s="107" t="s">
        <v>1415</v>
      </c>
      <c r="C132" s="71" t="s">
        <v>1416</v>
      </c>
      <c r="D132" s="71" t="s">
        <v>1417</v>
      </c>
      <c r="E132" s="108">
        <v>167131</v>
      </c>
      <c r="F132" s="109">
        <v>40092</v>
      </c>
      <c r="G132" s="109"/>
      <c r="H132" s="109">
        <v>40101</v>
      </c>
      <c r="I132" s="109"/>
      <c r="J132" s="71"/>
      <c r="K132" s="110"/>
    </row>
    <row r="133" spans="1:11" ht="12" customHeight="1">
      <c r="A133" s="71" t="s">
        <v>1465</v>
      </c>
      <c r="B133" s="107" t="s">
        <v>2524</v>
      </c>
      <c r="C133" s="71" t="s">
        <v>1466</v>
      </c>
      <c r="D133" s="71" t="s">
        <v>1467</v>
      </c>
      <c r="E133" s="108">
        <v>932949.57</v>
      </c>
      <c r="F133" s="109">
        <v>40162</v>
      </c>
      <c r="G133" s="109"/>
      <c r="H133" s="109">
        <v>39869</v>
      </c>
      <c r="I133" s="109">
        <v>40435</v>
      </c>
      <c r="J133" s="71"/>
      <c r="K133" s="110"/>
    </row>
    <row r="134" spans="1:11">
      <c r="A134" s="71" t="s">
        <v>1468</v>
      </c>
      <c r="B134" s="107" t="s">
        <v>2524</v>
      </c>
      <c r="C134" s="71"/>
      <c r="D134" s="71" t="s">
        <v>1469</v>
      </c>
      <c r="E134" s="108">
        <v>900000</v>
      </c>
      <c r="F134" s="109">
        <v>40162</v>
      </c>
      <c r="G134" s="109"/>
      <c r="H134" s="109" t="s">
        <v>1470</v>
      </c>
      <c r="I134" s="109"/>
      <c r="J134" s="71"/>
      <c r="K134" s="110"/>
    </row>
    <row r="135" spans="1:11" ht="14.25" customHeight="1">
      <c r="A135" s="71" t="s">
        <v>1486</v>
      </c>
      <c r="B135" s="107" t="s">
        <v>1487</v>
      </c>
      <c r="C135" s="71" t="s">
        <v>1051</v>
      </c>
      <c r="D135" s="71" t="s">
        <v>1488</v>
      </c>
      <c r="E135" s="108">
        <v>145343</v>
      </c>
      <c r="F135" s="109">
        <v>40176</v>
      </c>
      <c r="G135" s="109"/>
      <c r="H135" s="109">
        <v>40185</v>
      </c>
      <c r="I135" s="109">
        <v>40305</v>
      </c>
      <c r="J135" s="71"/>
      <c r="K135" s="110" t="s">
        <v>2877</v>
      </c>
    </row>
    <row r="136" spans="1:11" ht="12.75" customHeight="1">
      <c r="A136" s="71" t="s">
        <v>1491</v>
      </c>
      <c r="B136" s="107" t="s">
        <v>2520</v>
      </c>
      <c r="C136" s="71" t="s">
        <v>1492</v>
      </c>
      <c r="D136" s="71" t="s">
        <v>1493</v>
      </c>
      <c r="E136" s="108">
        <v>5383591</v>
      </c>
      <c r="F136" s="109">
        <v>40127</v>
      </c>
      <c r="G136" s="109"/>
      <c r="H136" s="109">
        <v>40140</v>
      </c>
      <c r="I136" s="109"/>
      <c r="J136" s="71"/>
      <c r="K136" s="110" t="s">
        <v>2877</v>
      </c>
    </row>
    <row r="137" spans="1:11">
      <c r="A137" s="71" t="s">
        <v>1513</v>
      </c>
      <c r="B137" s="107" t="s">
        <v>1487</v>
      </c>
      <c r="C137" s="71" t="s">
        <v>1051</v>
      </c>
      <c r="D137" s="71" t="s">
        <v>1514</v>
      </c>
      <c r="E137" s="108">
        <v>145343</v>
      </c>
      <c r="F137" s="109" t="s">
        <v>1515</v>
      </c>
      <c r="G137" s="109"/>
      <c r="H137" s="109">
        <v>40185</v>
      </c>
      <c r="I137" s="109">
        <v>40294</v>
      </c>
      <c r="J137" s="71"/>
      <c r="K137" s="110" t="s">
        <v>2877</v>
      </c>
    </row>
    <row r="138" spans="1:11" ht="15" customHeight="1">
      <c r="A138" s="71" t="s">
        <v>1535</v>
      </c>
      <c r="B138" s="107" t="s">
        <v>2520</v>
      </c>
      <c r="C138" s="71" t="s">
        <v>1536</v>
      </c>
      <c r="D138" s="71" t="s">
        <v>1537</v>
      </c>
      <c r="E138" s="108">
        <v>307015</v>
      </c>
      <c r="F138" s="109">
        <v>40319</v>
      </c>
      <c r="G138" s="109"/>
      <c r="H138" s="109">
        <v>40340</v>
      </c>
      <c r="I138" s="109">
        <v>40345</v>
      </c>
      <c r="J138" s="71"/>
      <c r="K138" s="110" t="s">
        <v>2877</v>
      </c>
    </row>
    <row r="139" spans="1:11" ht="15" customHeight="1">
      <c r="A139" s="71" t="s">
        <v>1538</v>
      </c>
      <c r="B139" s="107" t="s">
        <v>2520</v>
      </c>
      <c r="C139" s="71" t="s">
        <v>1539</v>
      </c>
      <c r="D139" s="71" t="s">
        <v>1540</v>
      </c>
      <c r="E139" s="108">
        <v>145000</v>
      </c>
      <c r="F139" s="109">
        <v>40318</v>
      </c>
      <c r="G139" s="109"/>
      <c r="H139" s="109">
        <v>40336</v>
      </c>
      <c r="I139" s="109">
        <v>40338</v>
      </c>
      <c r="J139" s="71"/>
      <c r="K139" s="110" t="s">
        <v>2877</v>
      </c>
    </row>
    <row r="140" spans="1:11" ht="15" customHeight="1">
      <c r="A140" s="71" t="s">
        <v>1541</v>
      </c>
      <c r="B140" s="107" t="s">
        <v>2520</v>
      </c>
      <c r="C140" s="71" t="s">
        <v>1542</v>
      </c>
      <c r="D140" s="71" t="s">
        <v>1543</v>
      </c>
      <c r="E140" s="108">
        <v>100000</v>
      </c>
      <c r="F140" s="109" t="s">
        <v>1334</v>
      </c>
      <c r="G140" s="109"/>
      <c r="H140" s="109">
        <v>40122</v>
      </c>
      <c r="I140" s="109"/>
      <c r="J140" s="71"/>
      <c r="K140" s="110" t="s">
        <v>2877</v>
      </c>
    </row>
    <row r="141" spans="1:11" ht="15" customHeight="1">
      <c r="A141" s="71" t="s">
        <v>1544</v>
      </c>
      <c r="B141" s="107" t="s">
        <v>1221</v>
      </c>
      <c r="C141" s="71" t="s">
        <v>1545</v>
      </c>
      <c r="D141" s="71" t="s">
        <v>1546</v>
      </c>
      <c r="E141" s="108">
        <v>98000</v>
      </c>
      <c r="F141" s="109">
        <v>40141</v>
      </c>
      <c r="G141" s="109"/>
      <c r="H141" s="109">
        <v>40183</v>
      </c>
      <c r="I141" s="109">
        <v>40302</v>
      </c>
      <c r="J141" s="71"/>
      <c r="K141" s="110"/>
    </row>
    <row r="142" spans="1:11">
      <c r="A142" s="71" t="s">
        <v>39</v>
      </c>
      <c r="B142" s="107" t="s">
        <v>2509</v>
      </c>
      <c r="C142" s="71" t="s">
        <v>40</v>
      </c>
      <c r="D142" s="71" t="s">
        <v>41</v>
      </c>
      <c r="E142" s="108">
        <v>284248</v>
      </c>
      <c r="F142" s="109">
        <v>40183</v>
      </c>
      <c r="G142" s="109">
        <v>40420</v>
      </c>
      <c r="H142" s="109" t="s">
        <v>42</v>
      </c>
      <c r="I142" s="109">
        <v>40185</v>
      </c>
      <c r="J142" s="71"/>
      <c r="K142" s="110" t="s">
        <v>2877</v>
      </c>
    </row>
    <row r="143" spans="1:11">
      <c r="A143" s="71" t="s">
        <v>49</v>
      </c>
      <c r="B143" s="107" t="s">
        <v>50</v>
      </c>
      <c r="C143" s="71" t="s">
        <v>51</v>
      </c>
      <c r="D143" s="71" t="s">
        <v>52</v>
      </c>
      <c r="E143" s="108">
        <v>348259</v>
      </c>
      <c r="F143" s="109">
        <v>40239</v>
      </c>
      <c r="G143" s="109"/>
      <c r="H143" s="109">
        <v>40260</v>
      </c>
      <c r="I143" s="109">
        <v>40304</v>
      </c>
      <c r="J143" s="71"/>
      <c r="K143" s="110"/>
    </row>
    <row r="144" spans="1:11">
      <c r="A144" s="71" t="s">
        <v>53</v>
      </c>
      <c r="B144" s="107" t="s">
        <v>2520</v>
      </c>
      <c r="C144" s="71" t="s">
        <v>54</v>
      </c>
      <c r="D144" s="71" t="s">
        <v>55</v>
      </c>
      <c r="E144" s="108">
        <v>239000</v>
      </c>
      <c r="F144" s="109">
        <v>40207</v>
      </c>
      <c r="G144" s="109">
        <v>40415</v>
      </c>
      <c r="H144" s="109">
        <v>40221</v>
      </c>
      <c r="I144" s="109">
        <v>40289</v>
      </c>
      <c r="J144" s="71"/>
      <c r="K144" s="110"/>
    </row>
    <row r="145" spans="1:11">
      <c r="A145" s="71" t="s">
        <v>56</v>
      </c>
      <c r="B145" s="107" t="s">
        <v>2520</v>
      </c>
      <c r="C145" s="71"/>
      <c r="D145" s="71" t="s">
        <v>57</v>
      </c>
      <c r="E145" s="108">
        <v>125000</v>
      </c>
      <c r="F145" s="109">
        <v>40106</v>
      </c>
      <c r="G145" s="109"/>
      <c r="H145" s="109">
        <v>40137</v>
      </c>
      <c r="I145" s="109">
        <v>40149</v>
      </c>
      <c r="J145" s="71"/>
      <c r="K145" s="110" t="s">
        <v>2877</v>
      </c>
    </row>
    <row r="146" spans="1:11">
      <c r="A146" s="71" t="s">
        <v>99</v>
      </c>
      <c r="B146" s="107" t="s">
        <v>1415</v>
      </c>
      <c r="C146" s="71" t="s">
        <v>100</v>
      </c>
      <c r="D146" s="71" t="s">
        <v>101</v>
      </c>
      <c r="E146" s="108">
        <v>500000</v>
      </c>
      <c r="F146" s="109" t="s">
        <v>102</v>
      </c>
      <c r="G146" s="109"/>
      <c r="H146" s="109">
        <v>40199</v>
      </c>
      <c r="I146" s="109"/>
      <c r="J146" s="71"/>
      <c r="K146" s="110"/>
    </row>
    <row r="147" spans="1:11">
      <c r="A147" s="71" t="s">
        <v>103</v>
      </c>
      <c r="B147" s="107" t="s">
        <v>104</v>
      </c>
      <c r="C147" s="71" t="s">
        <v>105</v>
      </c>
      <c r="D147" s="71" t="s">
        <v>106</v>
      </c>
      <c r="E147" s="108">
        <v>151090</v>
      </c>
      <c r="F147" s="109">
        <v>40273</v>
      </c>
      <c r="G147" s="109"/>
      <c r="H147" s="109">
        <v>40325</v>
      </c>
      <c r="I147" s="109"/>
      <c r="J147" s="71"/>
      <c r="K147" s="110"/>
    </row>
    <row r="148" spans="1:11">
      <c r="A148" s="71" t="s">
        <v>110</v>
      </c>
      <c r="B148" s="107" t="s">
        <v>104</v>
      </c>
      <c r="C148" s="71" t="s">
        <v>1404</v>
      </c>
      <c r="D148" s="71" t="s">
        <v>111</v>
      </c>
      <c r="E148" s="108">
        <v>545215</v>
      </c>
      <c r="F148" s="109">
        <v>40280</v>
      </c>
      <c r="G148" s="109"/>
      <c r="H148" s="109">
        <v>40309</v>
      </c>
      <c r="I148" s="109">
        <v>40309</v>
      </c>
      <c r="J148" s="71"/>
      <c r="K148" s="110"/>
    </row>
    <row r="149" spans="1:11">
      <c r="A149" s="71" t="s">
        <v>122</v>
      </c>
      <c r="B149" s="107" t="s">
        <v>2524</v>
      </c>
      <c r="C149" s="71" t="s">
        <v>9</v>
      </c>
      <c r="D149" s="71" t="s">
        <v>123</v>
      </c>
      <c r="E149" s="108">
        <v>189100</v>
      </c>
      <c r="F149" s="109">
        <v>40302</v>
      </c>
      <c r="G149" s="109"/>
      <c r="H149" s="109">
        <v>40372</v>
      </c>
      <c r="I149" s="109">
        <v>40378</v>
      </c>
      <c r="J149" s="71"/>
      <c r="K149" s="110"/>
    </row>
    <row r="150" spans="1:11">
      <c r="A150" s="71" t="s">
        <v>124</v>
      </c>
      <c r="B150" s="107" t="s">
        <v>2524</v>
      </c>
      <c r="C150" s="71" t="s">
        <v>125</v>
      </c>
      <c r="D150" s="71" t="s">
        <v>126</v>
      </c>
      <c r="E150" s="108">
        <v>168790</v>
      </c>
      <c r="F150" s="109">
        <v>40207</v>
      </c>
      <c r="G150" s="109"/>
      <c r="H150" s="109">
        <v>40304</v>
      </c>
      <c r="I150" s="109">
        <v>40336</v>
      </c>
      <c r="J150" s="71"/>
      <c r="K150" s="110"/>
    </row>
    <row r="151" spans="1:11">
      <c r="A151" s="71" t="s">
        <v>135</v>
      </c>
      <c r="B151" s="107" t="s">
        <v>104</v>
      </c>
      <c r="C151" s="71"/>
      <c r="D151" s="71" t="s">
        <v>136</v>
      </c>
      <c r="E151" s="108">
        <v>202571</v>
      </c>
      <c r="F151" s="109">
        <v>40277</v>
      </c>
      <c r="G151" s="109"/>
      <c r="H151" s="109">
        <v>40281</v>
      </c>
      <c r="I151" s="109"/>
      <c r="J151" s="71"/>
      <c r="K151" s="110"/>
    </row>
    <row r="152" spans="1:11">
      <c r="A152" s="71" t="s">
        <v>209</v>
      </c>
      <c r="B152" s="107" t="s">
        <v>2520</v>
      </c>
      <c r="C152" s="71" t="s">
        <v>210</v>
      </c>
      <c r="D152" s="71" t="s">
        <v>211</v>
      </c>
      <c r="E152" s="108">
        <v>1075045</v>
      </c>
      <c r="F152" s="109">
        <v>40238</v>
      </c>
      <c r="G152" s="109"/>
      <c r="H152" s="109">
        <v>40246</v>
      </c>
      <c r="I152" s="109"/>
      <c r="J152" s="71"/>
      <c r="K152" s="110"/>
    </row>
    <row r="153" spans="1:11">
      <c r="A153" s="71" t="s">
        <v>233</v>
      </c>
      <c r="B153" s="107" t="s">
        <v>2520</v>
      </c>
      <c r="C153" s="71" t="s">
        <v>234</v>
      </c>
      <c r="D153" s="71" t="s">
        <v>235</v>
      </c>
      <c r="E153" s="108">
        <v>146500</v>
      </c>
      <c r="F153" s="109">
        <v>40198</v>
      </c>
      <c r="G153" s="109"/>
      <c r="H153" s="109">
        <v>40206</v>
      </c>
      <c r="I153" s="109"/>
      <c r="J153" s="71"/>
      <c r="K153" s="110"/>
    </row>
    <row r="154" spans="1:11">
      <c r="A154" s="71" t="s">
        <v>236</v>
      </c>
      <c r="B154" s="107" t="s">
        <v>2520</v>
      </c>
      <c r="C154" s="71" t="s">
        <v>234</v>
      </c>
      <c r="D154" s="71" t="s">
        <v>237</v>
      </c>
      <c r="E154" s="108">
        <v>116500</v>
      </c>
      <c r="F154" s="109">
        <v>40198</v>
      </c>
      <c r="G154" s="109"/>
      <c r="H154" s="109">
        <v>40206</v>
      </c>
      <c r="I154" s="109"/>
      <c r="J154" s="71"/>
      <c r="K154" s="110"/>
    </row>
    <row r="155" spans="1:11">
      <c r="A155" s="71" t="s">
        <v>238</v>
      </c>
      <c r="B155" s="107" t="s">
        <v>239</v>
      </c>
      <c r="C155" s="71" t="s">
        <v>234</v>
      </c>
      <c r="D155" s="71" t="s">
        <v>240</v>
      </c>
      <c r="E155" s="108">
        <v>116500</v>
      </c>
      <c r="F155" s="109">
        <v>40198</v>
      </c>
      <c r="G155" s="109"/>
      <c r="H155" s="109">
        <v>40206</v>
      </c>
      <c r="I155" s="109"/>
      <c r="J155" s="71"/>
      <c r="K155" s="110"/>
    </row>
    <row r="156" spans="1:11">
      <c r="A156" s="71" t="s">
        <v>241</v>
      </c>
      <c r="B156" s="107" t="s">
        <v>2520</v>
      </c>
      <c r="C156" s="71" t="s">
        <v>234</v>
      </c>
      <c r="D156" s="71" t="s">
        <v>242</v>
      </c>
      <c r="E156" s="108">
        <v>146500</v>
      </c>
      <c r="F156" s="109">
        <v>40198</v>
      </c>
      <c r="G156" s="109"/>
      <c r="H156" s="109">
        <v>40206</v>
      </c>
      <c r="I156" s="109"/>
      <c r="J156" s="71"/>
      <c r="K156" s="110"/>
    </row>
    <row r="157" spans="1:11">
      <c r="A157" s="71" t="s">
        <v>243</v>
      </c>
      <c r="B157" s="107" t="s">
        <v>1400</v>
      </c>
      <c r="C157" s="71" t="s">
        <v>1109</v>
      </c>
      <c r="D157" s="71" t="s">
        <v>244</v>
      </c>
      <c r="E157" s="108">
        <v>282882.32</v>
      </c>
      <c r="F157" s="109">
        <v>40255</v>
      </c>
      <c r="G157" s="109"/>
      <c r="H157" s="109">
        <v>40379</v>
      </c>
      <c r="I157" s="109">
        <v>40429</v>
      </c>
      <c r="J157" s="71"/>
      <c r="K157" s="110"/>
    </row>
    <row r="158" spans="1:11">
      <c r="A158" s="71" t="s">
        <v>260</v>
      </c>
      <c r="B158" s="107" t="s">
        <v>2520</v>
      </c>
      <c r="C158" s="71" t="s">
        <v>261</v>
      </c>
      <c r="D158" s="71" t="s">
        <v>262</v>
      </c>
      <c r="E158" s="108">
        <v>263046</v>
      </c>
      <c r="F158" s="109">
        <v>40248</v>
      </c>
      <c r="G158" s="109">
        <v>40424</v>
      </c>
      <c r="H158" s="109">
        <v>40284</v>
      </c>
      <c r="I158" s="109">
        <v>40281</v>
      </c>
      <c r="J158" s="71"/>
      <c r="K158" s="110" t="s">
        <v>2877</v>
      </c>
    </row>
    <row r="159" spans="1:11">
      <c r="A159" s="71" t="s">
        <v>263</v>
      </c>
      <c r="B159" s="107" t="s">
        <v>2520</v>
      </c>
      <c r="C159" s="71" t="s">
        <v>1307</v>
      </c>
      <c r="D159" s="71" t="s">
        <v>264</v>
      </c>
      <c r="E159" s="108">
        <v>458431.78</v>
      </c>
      <c r="F159" s="109">
        <v>40248</v>
      </c>
      <c r="G159" s="109">
        <v>40415</v>
      </c>
      <c r="H159" s="109">
        <v>40270</v>
      </c>
      <c r="I159" s="109">
        <v>40276</v>
      </c>
      <c r="J159" s="71"/>
      <c r="K159" s="110" t="s">
        <v>2877</v>
      </c>
    </row>
    <row r="160" spans="1:11">
      <c r="A160" s="71" t="s">
        <v>311</v>
      </c>
      <c r="B160" s="107" t="s">
        <v>1221</v>
      </c>
      <c r="C160" s="71" t="s">
        <v>1058</v>
      </c>
      <c r="D160" s="71" t="s">
        <v>312</v>
      </c>
      <c r="E160" s="108">
        <v>704000</v>
      </c>
      <c r="F160" s="109">
        <v>40289</v>
      </c>
      <c r="G160" s="109"/>
      <c r="H160" s="109">
        <v>40295</v>
      </c>
      <c r="I160" s="109">
        <v>40311</v>
      </c>
      <c r="J160" s="71"/>
      <c r="K160" s="110"/>
    </row>
    <row r="161" spans="1:11">
      <c r="A161" s="71" t="s">
        <v>313</v>
      </c>
      <c r="B161" s="107" t="s">
        <v>2520</v>
      </c>
      <c r="C161" s="71" t="s">
        <v>314</v>
      </c>
      <c r="D161" s="71" t="s">
        <v>315</v>
      </c>
      <c r="E161" s="108">
        <v>243355</v>
      </c>
      <c r="F161" s="109">
        <v>40260</v>
      </c>
      <c r="G161" s="109"/>
      <c r="H161" s="109">
        <v>40268</v>
      </c>
      <c r="I161" s="109">
        <v>40269</v>
      </c>
      <c r="J161" s="71"/>
      <c r="K161" s="110"/>
    </row>
    <row r="162" spans="1:11" ht="22.5">
      <c r="A162" s="71" t="s">
        <v>337</v>
      </c>
      <c r="B162" s="107" t="s">
        <v>2520</v>
      </c>
      <c r="C162" s="71" t="s">
        <v>338</v>
      </c>
      <c r="D162" s="71" t="s">
        <v>339</v>
      </c>
      <c r="E162" s="108">
        <v>748595</v>
      </c>
      <c r="F162" s="109">
        <v>40267</v>
      </c>
      <c r="G162" s="109"/>
      <c r="H162" s="109">
        <v>40275</v>
      </c>
      <c r="I162" s="109">
        <v>40275</v>
      </c>
      <c r="J162" s="71"/>
      <c r="K162" s="110"/>
    </row>
    <row r="163" spans="1:11">
      <c r="A163" s="71" t="s">
        <v>340</v>
      </c>
      <c r="B163" s="107" t="s">
        <v>2520</v>
      </c>
      <c r="C163" s="71" t="s">
        <v>341</v>
      </c>
      <c r="D163" s="71" t="s">
        <v>342</v>
      </c>
      <c r="E163" s="108">
        <v>300000</v>
      </c>
      <c r="F163" s="109">
        <v>40267</v>
      </c>
      <c r="G163" s="109"/>
      <c r="H163" s="109">
        <v>40275</v>
      </c>
      <c r="I163" s="109"/>
      <c r="J163" s="71"/>
      <c r="K163" s="110"/>
    </row>
    <row r="164" spans="1:11">
      <c r="A164" s="71" t="s">
        <v>343</v>
      </c>
      <c r="B164" s="107" t="s">
        <v>2520</v>
      </c>
      <c r="C164" s="71" t="s">
        <v>341</v>
      </c>
      <c r="D164" s="71" t="s">
        <v>344</v>
      </c>
      <c r="E164" s="108">
        <v>300000</v>
      </c>
      <c r="F164" s="109">
        <v>40267</v>
      </c>
      <c r="G164" s="109"/>
      <c r="H164" s="109">
        <v>40275</v>
      </c>
      <c r="I164" s="109"/>
      <c r="J164" s="71"/>
      <c r="K164" s="110"/>
    </row>
    <row r="165" spans="1:11">
      <c r="A165" s="71" t="s">
        <v>353</v>
      </c>
      <c r="B165" s="107" t="s">
        <v>104</v>
      </c>
      <c r="C165" s="71" t="s">
        <v>1109</v>
      </c>
      <c r="D165" s="71" t="s">
        <v>354</v>
      </c>
      <c r="E165" s="108">
        <v>137400</v>
      </c>
      <c r="F165" s="109">
        <v>40269</v>
      </c>
      <c r="G165" s="109">
        <v>40431</v>
      </c>
      <c r="H165" s="109">
        <v>40281</v>
      </c>
      <c r="I165" s="109">
        <v>40316</v>
      </c>
      <c r="J165" s="71"/>
      <c r="K165" s="110" t="s">
        <v>2877</v>
      </c>
    </row>
    <row r="166" spans="1:11">
      <c r="A166" s="71" t="s">
        <v>355</v>
      </c>
      <c r="B166" s="107" t="s">
        <v>104</v>
      </c>
      <c r="C166" s="71"/>
      <c r="D166" s="71" t="s">
        <v>356</v>
      </c>
      <c r="E166" s="108">
        <v>300000</v>
      </c>
      <c r="F166" s="109">
        <v>40269</v>
      </c>
      <c r="G166" s="109"/>
      <c r="H166" s="109">
        <v>40281</v>
      </c>
      <c r="I166" s="109"/>
      <c r="J166" s="71"/>
      <c r="K166" s="110" t="s">
        <v>2877</v>
      </c>
    </row>
    <row r="167" spans="1:11">
      <c r="A167" s="71" t="s">
        <v>357</v>
      </c>
      <c r="B167" s="107" t="s">
        <v>358</v>
      </c>
      <c r="C167" s="71" t="s">
        <v>359</v>
      </c>
      <c r="D167" s="71" t="s">
        <v>360</v>
      </c>
      <c r="E167" s="108">
        <v>461061.92</v>
      </c>
      <c r="F167" s="109">
        <v>40283</v>
      </c>
      <c r="G167" s="109"/>
      <c r="H167" s="109">
        <v>40344</v>
      </c>
      <c r="I167" s="109">
        <v>40345</v>
      </c>
      <c r="J167" s="71"/>
      <c r="K167" s="110"/>
    </row>
    <row r="168" spans="1:11">
      <c r="A168" s="71" t="s">
        <v>376</v>
      </c>
      <c r="B168" s="107" t="s">
        <v>2520</v>
      </c>
      <c r="C168" s="71" t="s">
        <v>377</v>
      </c>
      <c r="D168" s="71" t="s">
        <v>378</v>
      </c>
      <c r="E168" s="108">
        <v>120320</v>
      </c>
      <c r="F168" s="109">
        <v>40276</v>
      </c>
      <c r="G168" s="109"/>
      <c r="H168" s="109">
        <v>40291</v>
      </c>
      <c r="I168" s="109">
        <v>40295</v>
      </c>
      <c r="J168" s="71"/>
      <c r="K168" s="110"/>
    </row>
    <row r="169" spans="1:11">
      <c r="A169" s="71" t="s">
        <v>379</v>
      </c>
      <c r="B169" s="107" t="s">
        <v>2520</v>
      </c>
      <c r="C169" s="71" t="s">
        <v>377</v>
      </c>
      <c r="D169" s="71" t="s">
        <v>380</v>
      </c>
      <c r="E169" s="108">
        <v>195815</v>
      </c>
      <c r="F169" s="109">
        <v>40276</v>
      </c>
      <c r="G169" s="109"/>
      <c r="H169" s="109">
        <v>40291</v>
      </c>
      <c r="I169" s="109">
        <v>40295</v>
      </c>
      <c r="J169" s="71"/>
      <c r="K169" s="110"/>
    </row>
    <row r="170" spans="1:11">
      <c r="A170" s="71" t="s">
        <v>381</v>
      </c>
      <c r="B170" s="107" t="s">
        <v>2520</v>
      </c>
      <c r="C170" s="71" t="s">
        <v>377</v>
      </c>
      <c r="D170" s="71" t="s">
        <v>382</v>
      </c>
      <c r="E170" s="108">
        <v>324245</v>
      </c>
      <c r="F170" s="109">
        <v>40276</v>
      </c>
      <c r="G170" s="109"/>
      <c r="H170" s="109">
        <v>40291</v>
      </c>
      <c r="I170" s="109">
        <v>40295</v>
      </c>
      <c r="J170" s="71"/>
      <c r="K170" s="110"/>
    </row>
    <row r="171" spans="1:11">
      <c r="A171" s="71" t="s">
        <v>389</v>
      </c>
      <c r="B171" s="107" t="s">
        <v>2520</v>
      </c>
      <c r="C171" s="71" t="s">
        <v>377</v>
      </c>
      <c r="D171" s="71" t="s">
        <v>390</v>
      </c>
      <c r="E171" s="108">
        <v>286965</v>
      </c>
      <c r="F171" s="109">
        <v>40276</v>
      </c>
      <c r="G171" s="109"/>
      <c r="H171" s="109">
        <v>40291</v>
      </c>
      <c r="I171" s="109">
        <v>40295</v>
      </c>
      <c r="J171" s="111">
        <v>80705.5</v>
      </c>
      <c r="K171" s="110"/>
    </row>
    <row r="172" spans="1:11">
      <c r="A172" s="71" t="s">
        <v>394</v>
      </c>
      <c r="B172" s="107" t="s">
        <v>2524</v>
      </c>
      <c r="C172" s="71" t="s">
        <v>9</v>
      </c>
      <c r="D172" s="71" t="s">
        <v>395</v>
      </c>
      <c r="E172" s="108">
        <v>149100</v>
      </c>
      <c r="F172" s="109">
        <v>40278</v>
      </c>
      <c r="G172" s="109"/>
      <c r="H172" s="109">
        <v>40312</v>
      </c>
      <c r="I172" s="109">
        <v>40319</v>
      </c>
      <c r="J172" s="71"/>
      <c r="K172" s="110"/>
    </row>
    <row r="173" spans="1:11">
      <c r="A173" s="71" t="s">
        <v>396</v>
      </c>
      <c r="B173" s="107" t="s">
        <v>2524</v>
      </c>
      <c r="C173" s="71" t="s">
        <v>397</v>
      </c>
      <c r="D173" s="71" t="s">
        <v>398</v>
      </c>
      <c r="E173" s="108">
        <v>566006</v>
      </c>
      <c r="F173" s="109">
        <v>40284</v>
      </c>
      <c r="G173" s="109"/>
      <c r="H173" s="109">
        <v>40339</v>
      </c>
      <c r="I173" s="109">
        <v>40339</v>
      </c>
      <c r="J173" s="71"/>
      <c r="K173" s="110"/>
    </row>
    <row r="174" spans="1:11">
      <c r="A174" s="71" t="s">
        <v>403</v>
      </c>
      <c r="B174" s="107" t="s">
        <v>2520</v>
      </c>
      <c r="C174" s="71" t="s">
        <v>148</v>
      </c>
      <c r="D174" s="71" t="s">
        <v>404</v>
      </c>
      <c r="E174" s="108">
        <v>445000</v>
      </c>
      <c r="F174" s="109">
        <v>40311</v>
      </c>
      <c r="G174" s="109"/>
      <c r="H174" s="109">
        <v>40311</v>
      </c>
      <c r="I174" s="109">
        <v>40311</v>
      </c>
      <c r="J174" s="71"/>
      <c r="K174" s="110"/>
    </row>
    <row r="175" spans="1:11">
      <c r="A175" s="71" t="s">
        <v>405</v>
      </c>
      <c r="B175" s="107" t="s">
        <v>2520</v>
      </c>
      <c r="C175" s="71" t="s">
        <v>406</v>
      </c>
      <c r="D175" s="71" t="s">
        <v>407</v>
      </c>
      <c r="E175" s="108">
        <v>100000</v>
      </c>
      <c r="F175" s="109">
        <v>40291</v>
      </c>
      <c r="G175" s="109"/>
      <c r="H175" s="109">
        <v>40298</v>
      </c>
      <c r="I175" s="109"/>
      <c r="J175" s="71"/>
      <c r="K175" s="110"/>
    </row>
    <row r="176" spans="1:11">
      <c r="A176" s="71" t="s">
        <v>408</v>
      </c>
      <c r="B176" s="107" t="s">
        <v>2520</v>
      </c>
      <c r="C176" s="71" t="s">
        <v>406</v>
      </c>
      <c r="D176" s="71" t="s">
        <v>409</v>
      </c>
      <c r="E176" s="108">
        <v>140000</v>
      </c>
      <c r="F176" s="109">
        <v>40291</v>
      </c>
      <c r="G176" s="109"/>
      <c r="H176" s="109">
        <v>40298</v>
      </c>
      <c r="I176" s="109"/>
      <c r="J176" s="71"/>
      <c r="K176" s="110"/>
    </row>
    <row r="177" spans="1:11">
      <c r="A177" s="71" t="s">
        <v>410</v>
      </c>
      <c r="B177" s="107" t="s">
        <v>2520</v>
      </c>
      <c r="C177" s="71" t="s">
        <v>406</v>
      </c>
      <c r="D177" s="71" t="s">
        <v>411</v>
      </c>
      <c r="E177" s="108">
        <v>126000</v>
      </c>
      <c r="F177" s="109">
        <v>40291</v>
      </c>
      <c r="G177" s="109"/>
      <c r="H177" s="109">
        <v>40298</v>
      </c>
      <c r="I177" s="109"/>
      <c r="J177" s="71"/>
      <c r="K177" s="110"/>
    </row>
    <row r="178" spans="1:11">
      <c r="A178" s="71" t="s">
        <v>412</v>
      </c>
      <c r="B178" s="107" t="s">
        <v>2520</v>
      </c>
      <c r="C178" s="71" t="s">
        <v>1120</v>
      </c>
      <c r="D178" s="71" t="s">
        <v>413</v>
      </c>
      <c r="E178" s="108">
        <v>293995</v>
      </c>
      <c r="F178" s="109">
        <v>40347</v>
      </c>
      <c r="G178" s="109"/>
      <c r="H178" s="109">
        <v>40357</v>
      </c>
      <c r="I178" s="109">
        <v>40358</v>
      </c>
      <c r="J178" s="71"/>
      <c r="K178" s="110"/>
    </row>
    <row r="179" spans="1:11">
      <c r="A179" s="71" t="s">
        <v>414</v>
      </c>
      <c r="B179" s="107" t="s">
        <v>2520</v>
      </c>
      <c r="C179" s="71" t="s">
        <v>205</v>
      </c>
      <c r="D179" s="71" t="s">
        <v>413</v>
      </c>
      <c r="E179" s="108">
        <v>606400</v>
      </c>
      <c r="F179" s="109">
        <v>40340</v>
      </c>
      <c r="G179" s="109"/>
      <c r="H179" s="109">
        <v>40350</v>
      </c>
      <c r="I179" s="109">
        <v>40347</v>
      </c>
      <c r="J179" s="71"/>
      <c r="K179" s="110"/>
    </row>
    <row r="180" spans="1:11">
      <c r="A180" s="71" t="s">
        <v>415</v>
      </c>
      <c r="B180" s="107" t="s">
        <v>2520</v>
      </c>
      <c r="C180" s="71" t="s">
        <v>1120</v>
      </c>
      <c r="D180" s="71" t="s">
        <v>413</v>
      </c>
      <c r="E180" s="108">
        <v>292500</v>
      </c>
      <c r="F180" s="109">
        <v>40347</v>
      </c>
      <c r="G180" s="109"/>
      <c r="H180" s="109">
        <v>40357</v>
      </c>
      <c r="I180" s="109">
        <v>40358</v>
      </c>
      <c r="J180" s="71"/>
      <c r="K180" s="110"/>
    </row>
    <row r="181" spans="1:11">
      <c r="A181" s="71" t="s">
        <v>416</v>
      </c>
      <c r="B181" s="107" t="s">
        <v>2520</v>
      </c>
      <c r="C181" s="71" t="s">
        <v>417</v>
      </c>
      <c r="D181" s="71" t="s">
        <v>413</v>
      </c>
      <c r="E181" s="108">
        <v>266800</v>
      </c>
      <c r="F181" s="109">
        <v>40347</v>
      </c>
      <c r="G181" s="109"/>
      <c r="H181" s="109">
        <v>40357</v>
      </c>
      <c r="I181" s="109">
        <v>40358</v>
      </c>
      <c r="J181" s="71"/>
      <c r="K181" s="110"/>
    </row>
    <row r="182" spans="1:11">
      <c r="A182" s="71" t="s">
        <v>427</v>
      </c>
      <c r="B182" s="107" t="s">
        <v>2520</v>
      </c>
      <c r="C182" s="71" t="s">
        <v>205</v>
      </c>
      <c r="D182" s="71" t="s">
        <v>428</v>
      </c>
      <c r="E182" s="108">
        <v>2247331</v>
      </c>
      <c r="F182" s="109">
        <v>40276</v>
      </c>
      <c r="G182" s="109"/>
      <c r="H182" s="109">
        <v>40339</v>
      </c>
      <c r="I182" s="109">
        <v>40345</v>
      </c>
      <c r="J182" s="71"/>
      <c r="K182" s="110" t="s">
        <v>2877</v>
      </c>
    </row>
    <row r="183" spans="1:11">
      <c r="A183" s="71" t="s">
        <v>433</v>
      </c>
      <c r="B183" s="107" t="s">
        <v>434</v>
      </c>
      <c r="C183" s="71" t="s">
        <v>435</v>
      </c>
      <c r="D183" s="71" t="s">
        <v>436</v>
      </c>
      <c r="E183" s="108">
        <v>650000</v>
      </c>
      <c r="F183" s="109">
        <v>40281</v>
      </c>
      <c r="G183" s="109"/>
      <c r="H183" s="109">
        <v>40298</v>
      </c>
      <c r="I183" s="109"/>
      <c r="J183" s="71"/>
      <c r="K183" s="110"/>
    </row>
    <row r="184" spans="1:11">
      <c r="A184" s="71" t="s">
        <v>445</v>
      </c>
      <c r="B184" s="107" t="s">
        <v>2520</v>
      </c>
      <c r="C184" s="71" t="s">
        <v>3118</v>
      </c>
      <c r="D184" s="71" t="s">
        <v>446</v>
      </c>
      <c r="E184" s="108">
        <v>100000</v>
      </c>
      <c r="F184" s="109">
        <v>40297</v>
      </c>
      <c r="G184" s="109"/>
      <c r="H184" s="109">
        <v>40305</v>
      </c>
      <c r="I184" s="109"/>
      <c r="J184" s="71"/>
      <c r="K184" s="110"/>
    </row>
    <row r="185" spans="1:11">
      <c r="A185" s="71" t="s">
        <v>447</v>
      </c>
      <c r="B185" s="107" t="s">
        <v>2520</v>
      </c>
      <c r="C185" s="71" t="s">
        <v>3118</v>
      </c>
      <c r="D185" s="71" t="s">
        <v>448</v>
      </c>
      <c r="E185" s="108">
        <v>100000</v>
      </c>
      <c r="F185" s="109">
        <v>40297</v>
      </c>
      <c r="G185" s="109"/>
      <c r="H185" s="109">
        <v>40305</v>
      </c>
      <c r="I185" s="109"/>
      <c r="J185" s="71"/>
      <c r="K185" s="110"/>
    </row>
    <row r="186" spans="1:11">
      <c r="A186" s="71" t="s">
        <v>463</v>
      </c>
      <c r="B186" s="107" t="s">
        <v>1221</v>
      </c>
      <c r="C186" s="71" t="s">
        <v>2518</v>
      </c>
      <c r="D186" s="71" t="s">
        <v>464</v>
      </c>
      <c r="E186" s="108">
        <v>24500</v>
      </c>
      <c r="F186" s="109">
        <v>40266</v>
      </c>
      <c r="G186" s="109"/>
      <c r="H186" s="109">
        <v>40267</v>
      </c>
      <c r="I186" s="109"/>
      <c r="J186" s="71"/>
      <c r="K186" s="110"/>
    </row>
    <row r="187" spans="1:11">
      <c r="A187" s="71" t="s">
        <v>469</v>
      </c>
      <c r="B187" s="107" t="s">
        <v>2520</v>
      </c>
      <c r="C187" s="71" t="s">
        <v>261</v>
      </c>
      <c r="D187" s="71" t="s">
        <v>470</v>
      </c>
      <c r="E187" s="108">
        <v>287400</v>
      </c>
      <c r="F187" s="109">
        <v>40311</v>
      </c>
      <c r="G187" s="109"/>
      <c r="H187" s="109">
        <v>40319</v>
      </c>
      <c r="I187" s="109">
        <v>40318</v>
      </c>
      <c r="J187" s="71"/>
      <c r="K187" s="110" t="s">
        <v>2877</v>
      </c>
    </row>
    <row r="188" spans="1:11">
      <c r="A188" s="71" t="s">
        <v>471</v>
      </c>
      <c r="B188" s="107" t="s">
        <v>2520</v>
      </c>
      <c r="C188" s="71" t="s">
        <v>205</v>
      </c>
      <c r="D188" s="71" t="s">
        <v>472</v>
      </c>
      <c r="E188" s="108">
        <v>434000</v>
      </c>
      <c r="F188" s="109">
        <v>40311</v>
      </c>
      <c r="G188" s="109"/>
      <c r="H188" s="109">
        <v>40319</v>
      </c>
      <c r="I188" s="109">
        <v>40318</v>
      </c>
      <c r="J188" s="71"/>
      <c r="K188" s="110" t="s">
        <v>2877</v>
      </c>
    </row>
    <row r="189" spans="1:11">
      <c r="A189" s="71" t="s">
        <v>482</v>
      </c>
      <c r="B189" s="107" t="s">
        <v>483</v>
      </c>
      <c r="C189" s="71" t="s">
        <v>282</v>
      </c>
      <c r="D189" s="71" t="s">
        <v>484</v>
      </c>
      <c r="E189" s="108">
        <v>125000</v>
      </c>
      <c r="F189" s="109">
        <v>40316</v>
      </c>
      <c r="G189" s="109"/>
      <c r="H189" s="109">
        <v>40234</v>
      </c>
      <c r="I189" s="109"/>
      <c r="J189" s="71"/>
      <c r="K189" s="110"/>
    </row>
    <row r="190" spans="1:11" ht="15" customHeight="1">
      <c r="A190" s="71" t="s">
        <v>517</v>
      </c>
      <c r="B190" s="107" t="s">
        <v>518</v>
      </c>
      <c r="C190" s="71" t="s">
        <v>261</v>
      </c>
      <c r="D190" s="71" t="s">
        <v>519</v>
      </c>
      <c r="E190" s="108">
        <v>290000</v>
      </c>
      <c r="F190" s="109">
        <v>40280</v>
      </c>
      <c r="G190" s="109"/>
      <c r="H190" s="109">
        <v>40282</v>
      </c>
      <c r="I190" s="109">
        <v>40283</v>
      </c>
      <c r="J190" s="71"/>
      <c r="K190" s="110" t="s">
        <v>520</v>
      </c>
    </row>
    <row r="191" spans="1:11">
      <c r="A191" s="71" t="s">
        <v>521</v>
      </c>
      <c r="B191" s="107" t="s">
        <v>2520</v>
      </c>
      <c r="C191" s="71" t="s">
        <v>522</v>
      </c>
      <c r="D191" s="71" t="s">
        <v>523</v>
      </c>
      <c r="E191" s="108">
        <v>1734046</v>
      </c>
      <c r="F191" s="109">
        <v>40262</v>
      </c>
      <c r="G191" s="109"/>
      <c r="H191" s="109">
        <v>40308</v>
      </c>
      <c r="I191" s="109">
        <v>40345</v>
      </c>
      <c r="J191" s="71"/>
      <c r="K191" s="110"/>
    </row>
    <row r="192" spans="1:11">
      <c r="A192" s="71" t="s">
        <v>527</v>
      </c>
      <c r="B192" s="107" t="s">
        <v>2520</v>
      </c>
      <c r="C192" s="71" t="s">
        <v>522</v>
      </c>
      <c r="D192" s="71" t="s">
        <v>528</v>
      </c>
      <c r="E192" s="108">
        <v>1307204</v>
      </c>
      <c r="F192" s="109">
        <v>40275</v>
      </c>
      <c r="G192" s="109"/>
      <c r="H192" s="109">
        <v>40323</v>
      </c>
      <c r="I192" s="109">
        <v>40345</v>
      </c>
      <c r="J192" s="71"/>
      <c r="K192" s="110"/>
    </row>
    <row r="193" spans="1:11">
      <c r="A193" s="71" t="s">
        <v>529</v>
      </c>
      <c r="B193" s="107" t="s">
        <v>104</v>
      </c>
      <c r="C193" s="71" t="s">
        <v>530</v>
      </c>
      <c r="D193" s="71" t="s">
        <v>531</v>
      </c>
      <c r="E193" s="108">
        <v>261413</v>
      </c>
      <c r="F193" s="109">
        <v>40316</v>
      </c>
      <c r="G193" s="109">
        <v>40423</v>
      </c>
      <c r="H193" s="109">
        <v>40323</v>
      </c>
      <c r="I193" s="109">
        <v>40424</v>
      </c>
      <c r="J193" s="71"/>
      <c r="K193" s="110"/>
    </row>
    <row r="194" spans="1:11">
      <c r="A194" s="71" t="s">
        <v>534</v>
      </c>
      <c r="B194" s="107" t="s">
        <v>535</v>
      </c>
      <c r="C194" s="71" t="s">
        <v>536</v>
      </c>
      <c r="D194" s="71" t="s">
        <v>537</v>
      </c>
      <c r="E194" s="108">
        <v>250000</v>
      </c>
      <c r="F194" s="109">
        <v>40311</v>
      </c>
      <c r="G194" s="109"/>
      <c r="H194" s="109">
        <v>40318</v>
      </c>
      <c r="I194" s="109"/>
      <c r="J194" s="71"/>
      <c r="K194" s="110"/>
    </row>
    <row r="195" spans="1:11" ht="8.25" customHeight="1">
      <c r="A195" s="71" t="s">
        <v>542</v>
      </c>
      <c r="B195" s="107" t="s">
        <v>1096</v>
      </c>
      <c r="C195" s="71" t="s">
        <v>543</v>
      </c>
      <c r="D195" s="71" t="s">
        <v>544</v>
      </c>
      <c r="E195" s="108">
        <v>600000</v>
      </c>
      <c r="F195" s="109">
        <v>40332</v>
      </c>
      <c r="G195" s="109"/>
      <c r="H195" s="109">
        <v>40338</v>
      </c>
      <c r="I195" s="109"/>
      <c r="J195" s="71"/>
      <c r="K195" s="110"/>
    </row>
    <row r="196" spans="1:11" ht="8.25" customHeight="1">
      <c r="A196" s="71" t="s">
        <v>545</v>
      </c>
      <c r="B196" s="107" t="s">
        <v>2524</v>
      </c>
      <c r="C196" s="71" t="s">
        <v>546</v>
      </c>
      <c r="D196" s="71" t="s">
        <v>547</v>
      </c>
      <c r="E196" s="108">
        <v>226257.35</v>
      </c>
      <c r="F196" s="109">
        <v>40311</v>
      </c>
      <c r="G196" s="109"/>
      <c r="H196" s="109">
        <v>40344</v>
      </c>
      <c r="I196" s="109">
        <v>40351</v>
      </c>
      <c r="J196" s="71"/>
      <c r="K196" s="110"/>
    </row>
    <row r="197" spans="1:11">
      <c r="A197" s="71" t="s">
        <v>550</v>
      </c>
      <c r="B197" s="107" t="s">
        <v>2524</v>
      </c>
      <c r="C197" s="71" t="s">
        <v>1435</v>
      </c>
      <c r="D197" s="71" t="s">
        <v>551</v>
      </c>
      <c r="E197" s="108">
        <v>149007</v>
      </c>
      <c r="F197" s="109">
        <v>40324</v>
      </c>
      <c r="G197" s="109"/>
      <c r="H197" s="109">
        <v>40358</v>
      </c>
      <c r="I197" s="109">
        <v>40360</v>
      </c>
      <c r="J197" s="71"/>
      <c r="K197" s="110"/>
    </row>
    <row r="198" spans="1:11">
      <c r="A198" s="71" t="s">
        <v>552</v>
      </c>
      <c r="B198" s="107" t="s">
        <v>2520</v>
      </c>
      <c r="C198" s="71" t="s">
        <v>553</v>
      </c>
      <c r="D198" s="71" t="s">
        <v>554</v>
      </c>
      <c r="E198" s="108">
        <v>179614.98</v>
      </c>
      <c r="F198" s="109">
        <v>40330</v>
      </c>
      <c r="G198" s="109"/>
      <c r="H198" s="109">
        <v>40343</v>
      </c>
      <c r="I198" s="109">
        <v>40345</v>
      </c>
      <c r="J198" s="71"/>
      <c r="K198" s="110"/>
    </row>
    <row r="199" spans="1:11">
      <c r="A199" s="71" t="s">
        <v>555</v>
      </c>
      <c r="B199" s="107" t="s">
        <v>2520</v>
      </c>
      <c r="C199" s="71"/>
      <c r="D199" s="71" t="s">
        <v>556</v>
      </c>
      <c r="E199" s="108">
        <v>200000</v>
      </c>
      <c r="F199" s="109">
        <v>40326</v>
      </c>
      <c r="G199" s="109"/>
      <c r="H199" s="109">
        <v>40336</v>
      </c>
      <c r="I199" s="109"/>
      <c r="J199" s="71"/>
      <c r="K199" s="110"/>
    </row>
    <row r="200" spans="1:11">
      <c r="A200" s="71" t="s">
        <v>557</v>
      </c>
      <c r="B200" s="107" t="s">
        <v>2520</v>
      </c>
      <c r="C200" s="71"/>
      <c r="D200" s="71" t="s">
        <v>558</v>
      </c>
      <c r="E200" s="108">
        <v>200000</v>
      </c>
      <c r="F200" s="109">
        <v>40326</v>
      </c>
      <c r="G200" s="109"/>
      <c r="H200" s="109">
        <v>40336</v>
      </c>
      <c r="I200" s="109"/>
      <c r="J200" s="71"/>
      <c r="K200" s="110"/>
    </row>
    <row r="201" spans="1:11">
      <c r="A201" s="71" t="s">
        <v>559</v>
      </c>
      <c r="B201" s="107" t="s">
        <v>2520</v>
      </c>
      <c r="C201" s="71"/>
      <c r="D201" s="71" t="s">
        <v>560</v>
      </c>
      <c r="E201" s="108">
        <v>200000</v>
      </c>
      <c r="F201" s="109">
        <v>40326</v>
      </c>
      <c r="G201" s="109"/>
      <c r="H201" s="109">
        <v>40336</v>
      </c>
      <c r="I201" s="109"/>
      <c r="J201" s="71"/>
      <c r="K201" s="110"/>
    </row>
    <row r="202" spans="1:11">
      <c r="A202" s="71" t="s">
        <v>564</v>
      </c>
      <c r="B202" s="107" t="s">
        <v>2520</v>
      </c>
      <c r="C202" s="71" t="s">
        <v>1506</v>
      </c>
      <c r="D202" s="71" t="s">
        <v>565</v>
      </c>
      <c r="E202" s="108">
        <v>313925</v>
      </c>
      <c r="F202" s="109">
        <v>40337</v>
      </c>
      <c r="G202" s="109"/>
      <c r="H202" s="109">
        <v>40318</v>
      </c>
      <c r="I202" s="109">
        <v>40347</v>
      </c>
      <c r="J202" s="71"/>
      <c r="K202" s="110"/>
    </row>
    <row r="203" spans="1:11">
      <c r="A203" s="71" t="s">
        <v>566</v>
      </c>
      <c r="B203" s="107" t="s">
        <v>2520</v>
      </c>
      <c r="C203" s="71" t="s">
        <v>567</v>
      </c>
      <c r="D203" s="71" t="s">
        <v>568</v>
      </c>
      <c r="E203" s="108">
        <v>280000</v>
      </c>
      <c r="F203" s="109">
        <v>40347</v>
      </c>
      <c r="G203" s="109"/>
      <c r="H203" s="109">
        <v>40357</v>
      </c>
      <c r="I203" s="109">
        <v>40358</v>
      </c>
      <c r="J203" s="71"/>
      <c r="K203" s="110"/>
    </row>
    <row r="204" spans="1:11">
      <c r="A204" s="71" t="s">
        <v>569</v>
      </c>
      <c r="B204" s="107" t="s">
        <v>2520</v>
      </c>
      <c r="C204" s="71" t="s">
        <v>570</v>
      </c>
      <c r="D204" s="71" t="s">
        <v>571</v>
      </c>
      <c r="E204" s="108">
        <v>265000</v>
      </c>
      <c r="F204" s="109">
        <v>40310</v>
      </c>
      <c r="G204" s="109"/>
      <c r="H204" s="109">
        <v>40318</v>
      </c>
      <c r="I204" s="109"/>
      <c r="J204" s="71"/>
      <c r="K204" s="110"/>
    </row>
    <row r="205" spans="1:11">
      <c r="A205" s="71" t="s">
        <v>590</v>
      </c>
      <c r="B205" s="107" t="s">
        <v>2520</v>
      </c>
      <c r="C205" s="71" t="s">
        <v>1521</v>
      </c>
      <c r="D205" s="71" t="s">
        <v>591</v>
      </c>
      <c r="E205" s="108">
        <v>153304</v>
      </c>
      <c r="F205" s="109">
        <v>40318</v>
      </c>
      <c r="G205" s="109"/>
      <c r="H205" s="109">
        <v>40326</v>
      </c>
      <c r="I205" s="109">
        <v>40326</v>
      </c>
      <c r="J205" s="71"/>
      <c r="K205" s="110"/>
    </row>
    <row r="206" spans="1:11">
      <c r="A206" s="71" t="s">
        <v>592</v>
      </c>
      <c r="B206" s="107" t="s">
        <v>2520</v>
      </c>
      <c r="C206" s="71" t="s">
        <v>1098</v>
      </c>
      <c r="D206" s="71" t="s">
        <v>593</v>
      </c>
      <c r="E206" s="108">
        <v>410594</v>
      </c>
      <c r="F206" s="109">
        <v>40316</v>
      </c>
      <c r="G206" s="109"/>
      <c r="H206" s="109">
        <v>40333</v>
      </c>
      <c r="I206" s="109">
        <v>40333</v>
      </c>
      <c r="J206" s="71"/>
      <c r="K206" s="110"/>
    </row>
    <row r="207" spans="1:11" ht="18.75" customHeight="1">
      <c r="A207" s="71" t="s">
        <v>600</v>
      </c>
      <c r="B207" s="107" t="s">
        <v>601</v>
      </c>
      <c r="C207" s="71" t="s">
        <v>1191</v>
      </c>
      <c r="D207" s="71" t="s">
        <v>602</v>
      </c>
      <c r="E207" s="108">
        <v>461500</v>
      </c>
      <c r="F207" s="109">
        <v>40325</v>
      </c>
      <c r="G207" s="109"/>
      <c r="H207" s="109">
        <v>40330</v>
      </c>
      <c r="I207" s="109">
        <v>40330</v>
      </c>
      <c r="J207" s="71"/>
      <c r="K207" s="110"/>
    </row>
    <row r="208" spans="1:11" ht="12.75" customHeight="1">
      <c r="A208" s="71" t="s">
        <v>605</v>
      </c>
      <c r="B208" s="107" t="s">
        <v>606</v>
      </c>
      <c r="C208" s="71" t="s">
        <v>607</v>
      </c>
      <c r="D208" s="71" t="s">
        <v>608</v>
      </c>
      <c r="E208" s="108">
        <v>11730</v>
      </c>
      <c r="F208" s="109">
        <v>40261</v>
      </c>
      <c r="G208" s="109"/>
      <c r="H208" s="109">
        <v>40263</v>
      </c>
      <c r="I208" s="109">
        <v>40340</v>
      </c>
      <c r="J208" s="71"/>
      <c r="K208" s="110"/>
    </row>
    <row r="209" spans="1:11">
      <c r="A209" s="71" t="s">
        <v>609</v>
      </c>
      <c r="B209" s="107" t="s">
        <v>2520</v>
      </c>
      <c r="C209" s="71" t="s">
        <v>1435</v>
      </c>
      <c r="D209" s="71" t="s">
        <v>610</v>
      </c>
      <c r="E209" s="108">
        <v>629007</v>
      </c>
      <c r="F209" s="109">
        <v>40325</v>
      </c>
      <c r="G209" s="109"/>
      <c r="H209" s="109">
        <v>40336</v>
      </c>
      <c r="I209" s="109">
        <v>40337</v>
      </c>
      <c r="J209" s="71"/>
      <c r="K209" s="110"/>
    </row>
    <row r="210" spans="1:11">
      <c r="A210" s="71" t="s">
        <v>615</v>
      </c>
      <c r="B210" s="107" t="s">
        <v>1336</v>
      </c>
      <c r="C210" s="71" t="s">
        <v>1229</v>
      </c>
      <c r="D210" s="71" t="s">
        <v>616</v>
      </c>
      <c r="E210" s="108">
        <v>154900</v>
      </c>
      <c r="F210" s="109">
        <v>40344</v>
      </c>
      <c r="G210" s="109"/>
      <c r="H210" s="109">
        <v>40348</v>
      </c>
      <c r="I210" s="109">
        <v>40354</v>
      </c>
      <c r="J210" s="71"/>
      <c r="K210" s="110" t="s">
        <v>2877</v>
      </c>
    </row>
    <row r="211" spans="1:11">
      <c r="A211" s="71"/>
      <c r="B211" s="107"/>
      <c r="C211" s="71"/>
      <c r="D211" s="71"/>
      <c r="E211" s="108"/>
      <c r="F211" s="109"/>
      <c r="G211" s="109"/>
      <c r="H211" s="109"/>
      <c r="I211" s="109"/>
      <c r="J211" s="71"/>
      <c r="K211" s="110"/>
    </row>
    <row r="212" spans="1:11">
      <c r="A212" s="71" t="s">
        <v>615</v>
      </c>
      <c r="B212" s="107"/>
      <c r="C212" s="71" t="s">
        <v>617</v>
      </c>
      <c r="D212" s="71"/>
      <c r="E212" s="108">
        <v>253155</v>
      </c>
      <c r="F212" s="109">
        <v>40344</v>
      </c>
      <c r="G212" s="109"/>
      <c r="H212" s="109">
        <v>40348</v>
      </c>
      <c r="I212" s="109">
        <v>40354</v>
      </c>
      <c r="J212" s="71"/>
      <c r="K212" s="110"/>
    </row>
    <row r="213" spans="1:11">
      <c r="A213" s="71" t="s">
        <v>618</v>
      </c>
      <c r="B213" s="107" t="s">
        <v>1336</v>
      </c>
      <c r="C213" s="71" t="s">
        <v>619</v>
      </c>
      <c r="D213" s="71" t="s">
        <v>620</v>
      </c>
      <c r="E213" s="108">
        <v>118200</v>
      </c>
      <c r="F213" s="109">
        <v>40337</v>
      </c>
      <c r="G213" s="109"/>
      <c r="H213" s="109">
        <v>40310</v>
      </c>
      <c r="I213" s="109"/>
      <c r="J213" s="71"/>
      <c r="K213" s="110"/>
    </row>
    <row r="214" spans="1:11">
      <c r="A214" s="71" t="s">
        <v>618</v>
      </c>
      <c r="B214" s="107"/>
      <c r="C214" s="71" t="s">
        <v>621</v>
      </c>
      <c r="D214" s="71"/>
      <c r="E214" s="108">
        <v>16732</v>
      </c>
      <c r="F214" s="109">
        <v>40338</v>
      </c>
      <c r="G214" s="109"/>
      <c r="H214" s="109">
        <v>40354</v>
      </c>
      <c r="I214" s="109">
        <v>40354</v>
      </c>
      <c r="J214" s="71"/>
      <c r="K214" s="110"/>
    </row>
    <row r="215" spans="1:11">
      <c r="A215" s="71" t="s">
        <v>618</v>
      </c>
      <c r="B215" s="107"/>
      <c r="C215" s="71" t="s">
        <v>622</v>
      </c>
      <c r="D215" s="71"/>
      <c r="E215" s="108">
        <v>4720</v>
      </c>
      <c r="F215" s="109"/>
      <c r="G215" s="109"/>
      <c r="H215" s="109"/>
      <c r="I215" s="109"/>
      <c r="J215" s="71"/>
      <c r="K215" s="110"/>
    </row>
    <row r="216" spans="1:11">
      <c r="A216" s="71" t="s">
        <v>618</v>
      </c>
      <c r="B216" s="107"/>
      <c r="C216" s="71" t="s">
        <v>617</v>
      </c>
      <c r="D216" s="71"/>
      <c r="E216" s="108"/>
      <c r="F216" s="109"/>
      <c r="G216" s="109"/>
      <c r="H216" s="109"/>
      <c r="I216" s="109"/>
      <c r="J216" s="71"/>
      <c r="K216" s="110"/>
    </row>
    <row r="217" spans="1:11">
      <c r="A217" s="71" t="s">
        <v>618</v>
      </c>
      <c r="B217" s="107"/>
      <c r="C217" s="71" t="s">
        <v>314</v>
      </c>
      <c r="D217" s="71"/>
      <c r="E217" s="108"/>
      <c r="F217" s="109"/>
      <c r="G217" s="109"/>
      <c r="H217" s="109"/>
      <c r="I217" s="109"/>
      <c r="J217" s="71"/>
      <c r="K217" s="110"/>
    </row>
    <row r="218" spans="1:11">
      <c r="A218" s="71" t="s">
        <v>618</v>
      </c>
      <c r="B218" s="107"/>
      <c r="C218" s="71" t="s">
        <v>623</v>
      </c>
      <c r="D218" s="71"/>
      <c r="E218" s="108"/>
      <c r="F218" s="109"/>
      <c r="G218" s="109"/>
      <c r="H218" s="109"/>
      <c r="I218" s="109"/>
      <c r="J218" s="71"/>
      <c r="K218" s="110"/>
    </row>
    <row r="219" spans="1:11">
      <c r="A219" s="71" t="s">
        <v>618</v>
      </c>
      <c r="B219" s="107"/>
      <c r="C219" s="71" t="s">
        <v>624</v>
      </c>
      <c r="D219" s="71"/>
      <c r="E219" s="108">
        <v>24874</v>
      </c>
      <c r="F219" s="109"/>
      <c r="G219" s="109"/>
      <c r="H219" s="109"/>
      <c r="I219" s="109"/>
      <c r="J219" s="71"/>
      <c r="K219" s="110"/>
    </row>
    <row r="220" spans="1:11">
      <c r="A220" s="71" t="s">
        <v>625</v>
      </c>
      <c r="B220" s="107" t="s">
        <v>1247</v>
      </c>
      <c r="C220" s="71" t="s">
        <v>626</v>
      </c>
      <c r="D220" s="71" t="s">
        <v>627</v>
      </c>
      <c r="E220" s="108">
        <v>201464</v>
      </c>
      <c r="F220" s="109">
        <v>40345</v>
      </c>
      <c r="G220" s="109"/>
      <c r="H220" s="109">
        <v>40350</v>
      </c>
      <c r="I220" s="109">
        <v>40357</v>
      </c>
      <c r="J220" s="71"/>
      <c r="K220" s="110" t="s">
        <v>2877</v>
      </c>
    </row>
    <row r="221" spans="1:11">
      <c r="A221" s="71" t="s">
        <v>628</v>
      </c>
      <c r="B221" s="107" t="s">
        <v>629</v>
      </c>
      <c r="C221" s="71" t="s">
        <v>1482</v>
      </c>
      <c r="D221" s="71" t="s">
        <v>630</v>
      </c>
      <c r="E221" s="108">
        <v>274171</v>
      </c>
      <c r="F221" s="109">
        <v>40350</v>
      </c>
      <c r="G221" s="109"/>
      <c r="H221" s="109">
        <v>40388</v>
      </c>
      <c r="I221" s="109">
        <v>40389</v>
      </c>
      <c r="J221" s="71"/>
      <c r="K221" s="110" t="s">
        <v>2877</v>
      </c>
    </row>
    <row r="222" spans="1:11">
      <c r="A222" s="71" t="s">
        <v>631</v>
      </c>
      <c r="B222" s="107" t="s">
        <v>606</v>
      </c>
      <c r="C222" s="71"/>
      <c r="D222" s="71" t="s">
        <v>632</v>
      </c>
      <c r="E222" s="108">
        <v>39614</v>
      </c>
      <c r="F222" s="109">
        <v>40351</v>
      </c>
      <c r="G222" s="109"/>
      <c r="H222" s="109">
        <v>40378</v>
      </c>
      <c r="I222" s="109">
        <v>40389</v>
      </c>
      <c r="J222" s="71"/>
      <c r="K222" s="110" t="s">
        <v>2877</v>
      </c>
    </row>
    <row r="223" spans="1:11">
      <c r="A223" s="71" t="s">
        <v>633</v>
      </c>
      <c r="B223" s="107" t="s">
        <v>606</v>
      </c>
      <c r="C223" s="71" t="s">
        <v>1212</v>
      </c>
      <c r="D223" s="71" t="s">
        <v>634</v>
      </c>
      <c r="E223" s="108">
        <v>3000000</v>
      </c>
      <c r="F223" s="109" t="s">
        <v>635</v>
      </c>
      <c r="G223" s="109"/>
      <c r="H223" s="109" t="s">
        <v>635</v>
      </c>
      <c r="I223" s="109"/>
      <c r="J223" s="71"/>
      <c r="K223" s="110"/>
    </row>
    <row r="224" spans="1:11">
      <c r="A224" s="71" t="s">
        <v>633</v>
      </c>
      <c r="B224" s="107"/>
      <c r="C224" s="71" t="s">
        <v>636</v>
      </c>
      <c r="D224" s="71"/>
      <c r="E224" s="108">
        <v>465250</v>
      </c>
      <c r="F224" s="109">
        <v>40302</v>
      </c>
      <c r="G224" s="109"/>
      <c r="H224" s="109">
        <v>40303</v>
      </c>
      <c r="I224" s="109">
        <v>40340</v>
      </c>
      <c r="J224" s="71"/>
      <c r="K224" s="110"/>
    </row>
    <row r="225" spans="1:11">
      <c r="A225" s="71" t="s">
        <v>633</v>
      </c>
      <c r="B225" s="107"/>
      <c r="C225" s="71" t="s">
        <v>626</v>
      </c>
      <c r="D225" s="71"/>
      <c r="E225" s="108">
        <v>266100</v>
      </c>
      <c r="F225" s="109">
        <v>40302</v>
      </c>
      <c r="G225" s="109"/>
      <c r="H225" s="109">
        <v>40303</v>
      </c>
      <c r="I225" s="109">
        <v>40340</v>
      </c>
      <c r="J225" s="71"/>
      <c r="K225" s="110"/>
    </row>
    <row r="226" spans="1:11">
      <c r="A226" s="71" t="s">
        <v>633</v>
      </c>
      <c r="B226" s="107"/>
      <c r="C226" s="71" t="s">
        <v>1077</v>
      </c>
      <c r="D226" s="71"/>
      <c r="E226" s="108">
        <v>1093923</v>
      </c>
      <c r="F226" s="109">
        <v>40302</v>
      </c>
      <c r="G226" s="109"/>
      <c r="H226" s="109">
        <v>40303</v>
      </c>
      <c r="I226" s="109">
        <v>40340</v>
      </c>
      <c r="J226" s="71"/>
      <c r="K226" s="110"/>
    </row>
    <row r="227" spans="1:11">
      <c r="A227" s="71" t="s">
        <v>633</v>
      </c>
      <c r="B227" s="107"/>
      <c r="C227" s="71" t="s">
        <v>1482</v>
      </c>
      <c r="D227" s="71"/>
      <c r="E227" s="108">
        <v>1309394</v>
      </c>
      <c r="F227" s="109" t="s">
        <v>637</v>
      </c>
      <c r="G227" s="109"/>
      <c r="H227" s="109">
        <v>40340</v>
      </c>
      <c r="I227" s="109">
        <v>40340</v>
      </c>
      <c r="J227" s="71"/>
      <c r="K227" s="110"/>
    </row>
    <row r="228" spans="1:11">
      <c r="A228" s="71" t="s">
        <v>633</v>
      </c>
      <c r="B228" s="107"/>
      <c r="C228" s="71" t="s">
        <v>638</v>
      </c>
      <c r="D228" s="71"/>
      <c r="E228" s="108">
        <v>39615</v>
      </c>
      <c r="F228" s="109">
        <v>40351</v>
      </c>
      <c r="G228" s="109"/>
      <c r="H228" s="109">
        <v>40378</v>
      </c>
      <c r="I228" s="109">
        <v>40389</v>
      </c>
      <c r="J228" s="71"/>
      <c r="K228" s="110"/>
    </row>
    <row r="229" spans="1:11">
      <c r="A229" s="71" t="s">
        <v>653</v>
      </c>
      <c r="B229" s="107" t="s">
        <v>104</v>
      </c>
      <c r="C229" s="71" t="s">
        <v>654</v>
      </c>
      <c r="D229" s="71" t="s">
        <v>655</v>
      </c>
      <c r="E229" s="108">
        <v>533730.4</v>
      </c>
      <c r="F229" s="109">
        <v>40344</v>
      </c>
      <c r="G229" s="109"/>
      <c r="H229" s="109">
        <v>40351</v>
      </c>
      <c r="I229" s="109"/>
      <c r="J229" s="71"/>
      <c r="K229" s="110"/>
    </row>
    <row r="230" spans="1:11">
      <c r="A230" s="71" t="s">
        <v>663</v>
      </c>
      <c r="B230" s="107" t="s">
        <v>2524</v>
      </c>
      <c r="C230" s="71" t="s">
        <v>664</v>
      </c>
      <c r="D230" s="71" t="s">
        <v>665</v>
      </c>
      <c r="E230" s="108">
        <v>163100</v>
      </c>
      <c r="F230" s="109">
        <v>40325</v>
      </c>
      <c r="G230" s="109"/>
      <c r="H230" s="109">
        <v>40346</v>
      </c>
      <c r="I230" s="109">
        <v>40351</v>
      </c>
      <c r="J230" s="71"/>
      <c r="K230" s="110"/>
    </row>
    <row r="231" spans="1:11">
      <c r="A231" s="71" t="s">
        <v>666</v>
      </c>
      <c r="B231" s="107" t="s">
        <v>535</v>
      </c>
      <c r="C231" s="71" t="s">
        <v>667</v>
      </c>
      <c r="D231" s="71" t="s">
        <v>668</v>
      </c>
      <c r="E231" s="108">
        <v>267000</v>
      </c>
      <c r="F231" s="109">
        <v>40325</v>
      </c>
      <c r="G231" s="109"/>
      <c r="H231" s="109">
        <v>40332</v>
      </c>
      <c r="I231" s="109">
        <v>40385</v>
      </c>
      <c r="J231" s="71"/>
      <c r="K231" s="110"/>
    </row>
    <row r="232" spans="1:11">
      <c r="A232" s="71" t="s">
        <v>671</v>
      </c>
      <c r="B232" s="107" t="s">
        <v>1096</v>
      </c>
      <c r="C232" s="71" t="s">
        <v>672</v>
      </c>
      <c r="D232" s="71" t="s">
        <v>673</v>
      </c>
      <c r="E232" s="108">
        <v>163532</v>
      </c>
      <c r="F232" s="109">
        <v>40368</v>
      </c>
      <c r="G232" s="109"/>
      <c r="H232" s="109">
        <v>40373</v>
      </c>
      <c r="I232" s="109">
        <v>40379</v>
      </c>
      <c r="J232" s="71"/>
      <c r="K232" s="110"/>
    </row>
    <row r="233" spans="1:11">
      <c r="A233" s="71" t="s">
        <v>676</v>
      </c>
      <c r="B233" s="107" t="s">
        <v>2520</v>
      </c>
      <c r="C233" s="71" t="s">
        <v>299</v>
      </c>
      <c r="D233" s="71" t="s">
        <v>677</v>
      </c>
      <c r="E233" s="108">
        <v>582454</v>
      </c>
      <c r="F233" s="109">
        <v>40345</v>
      </c>
      <c r="G233" s="109"/>
      <c r="H233" s="109">
        <v>40353</v>
      </c>
      <c r="I233" s="109">
        <v>40353</v>
      </c>
      <c r="J233" s="71"/>
      <c r="K233" s="110"/>
    </row>
    <row r="234" spans="1:11">
      <c r="A234" s="71" t="s">
        <v>690</v>
      </c>
      <c r="B234" s="107" t="s">
        <v>2520</v>
      </c>
      <c r="C234" s="71" t="s">
        <v>1435</v>
      </c>
      <c r="D234" s="71" t="s">
        <v>691</v>
      </c>
      <c r="E234" s="108">
        <v>158600</v>
      </c>
      <c r="F234" s="109">
        <v>40339</v>
      </c>
      <c r="G234" s="109"/>
      <c r="H234" s="109">
        <v>40347</v>
      </c>
      <c r="I234" s="109">
        <v>40347</v>
      </c>
      <c r="J234" s="71"/>
      <c r="K234" s="110"/>
    </row>
    <row r="235" spans="1:11" ht="11.25" customHeight="1">
      <c r="A235" s="71" t="s">
        <v>696</v>
      </c>
      <c r="B235" s="107" t="s">
        <v>2520</v>
      </c>
      <c r="C235" s="71" t="s">
        <v>288</v>
      </c>
      <c r="D235" s="71" t="s">
        <v>697</v>
      </c>
      <c r="E235" s="108">
        <v>173943</v>
      </c>
      <c r="F235" s="109">
        <v>40338</v>
      </c>
      <c r="G235" s="109">
        <v>40428</v>
      </c>
      <c r="H235" s="109">
        <v>40351</v>
      </c>
      <c r="I235" s="109">
        <v>40353</v>
      </c>
      <c r="J235" s="71"/>
      <c r="K235" s="110" t="s">
        <v>2877</v>
      </c>
    </row>
    <row r="236" spans="1:11" ht="15.75" customHeight="1">
      <c r="A236" s="71" t="s">
        <v>711</v>
      </c>
      <c r="B236" s="107" t="s">
        <v>2524</v>
      </c>
      <c r="C236" s="71" t="s">
        <v>712</v>
      </c>
      <c r="D236" s="71" t="s">
        <v>713</v>
      </c>
      <c r="E236" s="108">
        <v>91479</v>
      </c>
      <c r="F236" s="109">
        <v>40345</v>
      </c>
      <c r="G236" s="109"/>
      <c r="H236" s="109">
        <v>40352</v>
      </c>
      <c r="I236" s="109">
        <v>40358</v>
      </c>
      <c r="J236" s="71"/>
      <c r="K236" s="110"/>
    </row>
    <row r="237" spans="1:11" ht="15.75" customHeight="1">
      <c r="A237" s="71" t="s">
        <v>714</v>
      </c>
      <c r="B237" s="107" t="s">
        <v>104</v>
      </c>
      <c r="C237" s="71" t="s">
        <v>1126</v>
      </c>
      <c r="D237" s="71" t="s">
        <v>715</v>
      </c>
      <c r="E237" s="108">
        <v>772200</v>
      </c>
      <c r="F237" s="109">
        <v>40365</v>
      </c>
      <c r="G237" s="109"/>
      <c r="H237" s="109">
        <v>40372</v>
      </c>
      <c r="I237" s="109">
        <v>40374</v>
      </c>
      <c r="J237" s="71"/>
      <c r="K237" s="110"/>
    </row>
    <row r="238" spans="1:11" ht="15.75" customHeight="1">
      <c r="A238" s="71" t="s">
        <v>719</v>
      </c>
      <c r="B238" s="107" t="s">
        <v>1247</v>
      </c>
      <c r="C238" s="71"/>
      <c r="D238" s="71" t="s">
        <v>720</v>
      </c>
      <c r="E238" s="108">
        <v>175000</v>
      </c>
      <c r="F238" s="109">
        <v>40353</v>
      </c>
      <c r="G238" s="109"/>
      <c r="H238" s="109">
        <v>40360</v>
      </c>
      <c r="I238" s="109"/>
      <c r="J238" s="71"/>
      <c r="K238" s="110"/>
    </row>
    <row r="239" spans="1:11">
      <c r="A239" s="71" t="s">
        <v>742</v>
      </c>
      <c r="B239" s="107" t="s">
        <v>2520</v>
      </c>
      <c r="C239" s="71" t="s">
        <v>2518</v>
      </c>
      <c r="D239" s="71" t="s">
        <v>743</v>
      </c>
      <c r="E239" s="108">
        <v>50000</v>
      </c>
      <c r="F239" s="109">
        <v>40353</v>
      </c>
      <c r="G239" s="109"/>
      <c r="H239" s="109">
        <v>40354</v>
      </c>
      <c r="I239" s="109"/>
      <c r="J239" s="71"/>
      <c r="K239" s="110"/>
    </row>
    <row r="240" spans="1:11">
      <c r="A240" s="71" t="s">
        <v>762</v>
      </c>
      <c r="B240" s="107" t="s">
        <v>1096</v>
      </c>
      <c r="C240" s="71"/>
      <c r="D240" s="71" t="s">
        <v>763</v>
      </c>
      <c r="E240" s="108">
        <v>2407804</v>
      </c>
      <c r="F240" s="109" t="s">
        <v>1507</v>
      </c>
      <c r="G240" s="109"/>
      <c r="H240" s="109">
        <v>40298</v>
      </c>
      <c r="I240" s="109"/>
      <c r="J240" s="71"/>
      <c r="K240" s="110"/>
    </row>
    <row r="241" spans="1:11">
      <c r="A241" s="71" t="s">
        <v>764</v>
      </c>
      <c r="B241" s="107" t="s">
        <v>1096</v>
      </c>
      <c r="C241" s="71"/>
      <c r="D241" s="71" t="s">
        <v>765</v>
      </c>
      <c r="E241" s="108">
        <v>440955</v>
      </c>
      <c r="F241" s="109" t="s">
        <v>1507</v>
      </c>
      <c r="G241" s="109"/>
      <c r="H241" s="109">
        <v>40359</v>
      </c>
      <c r="I241" s="109"/>
      <c r="J241" s="71"/>
      <c r="K241" s="110"/>
    </row>
    <row r="242" spans="1:11">
      <c r="A242" s="71" t="s">
        <v>766</v>
      </c>
      <c r="B242" s="107" t="s">
        <v>1415</v>
      </c>
      <c r="C242" s="71"/>
      <c r="D242" s="71" t="s">
        <v>767</v>
      </c>
      <c r="E242" s="108">
        <v>700000</v>
      </c>
      <c r="F242" s="109">
        <v>40365</v>
      </c>
      <c r="G242" s="109"/>
      <c r="H242" s="109">
        <v>40367</v>
      </c>
      <c r="I242" s="109"/>
      <c r="J242" s="71"/>
      <c r="K242" s="110" t="s">
        <v>2877</v>
      </c>
    </row>
    <row r="243" spans="1:11">
      <c r="A243" s="71" t="s">
        <v>768</v>
      </c>
      <c r="B243" s="107" t="s">
        <v>2520</v>
      </c>
      <c r="C243" s="71" t="s">
        <v>205</v>
      </c>
      <c r="D243" s="71" t="s">
        <v>769</v>
      </c>
      <c r="E243" s="108">
        <v>1927805</v>
      </c>
      <c r="F243" s="109">
        <v>40276</v>
      </c>
      <c r="G243" s="109"/>
      <c r="H243" s="109">
        <v>40339</v>
      </c>
      <c r="I243" s="109">
        <v>40345</v>
      </c>
      <c r="J243" s="71"/>
      <c r="K243" s="110" t="s">
        <v>2877</v>
      </c>
    </row>
    <row r="244" spans="1:11" ht="15.75" customHeight="1">
      <c r="A244" s="71" t="s">
        <v>770</v>
      </c>
      <c r="B244" s="107" t="s">
        <v>2524</v>
      </c>
      <c r="C244" s="71" t="s">
        <v>771</v>
      </c>
      <c r="D244" s="71" t="s">
        <v>772</v>
      </c>
      <c r="E244" s="108">
        <v>134000</v>
      </c>
      <c r="F244" s="109">
        <v>40360</v>
      </c>
      <c r="G244" s="109"/>
      <c r="H244" s="109">
        <v>40375</v>
      </c>
      <c r="I244" s="109">
        <v>40385</v>
      </c>
      <c r="J244" s="71"/>
      <c r="K244" s="110" t="s">
        <v>2877</v>
      </c>
    </row>
    <row r="245" spans="1:11">
      <c r="A245" s="71" t="s">
        <v>787</v>
      </c>
      <c r="B245" s="107" t="s">
        <v>2509</v>
      </c>
      <c r="C245" s="71" t="s">
        <v>788</v>
      </c>
      <c r="D245" s="71" t="s">
        <v>789</v>
      </c>
      <c r="E245" s="108">
        <v>70947</v>
      </c>
      <c r="F245" s="109">
        <v>40351</v>
      </c>
      <c r="G245" s="109"/>
      <c r="H245" s="109">
        <v>40353</v>
      </c>
      <c r="I245" s="109">
        <v>40353</v>
      </c>
      <c r="J245" s="71"/>
      <c r="K245" s="110" t="s">
        <v>2877</v>
      </c>
    </row>
    <row r="246" spans="1:11">
      <c r="A246" s="71" t="s">
        <v>797</v>
      </c>
      <c r="B246" s="107" t="s">
        <v>1247</v>
      </c>
      <c r="C246" s="71" t="s">
        <v>798</v>
      </c>
      <c r="D246" s="71" t="s">
        <v>799</v>
      </c>
      <c r="E246" s="108">
        <v>499891</v>
      </c>
      <c r="F246" s="109">
        <v>40345</v>
      </c>
      <c r="G246" s="109"/>
      <c r="H246" s="109">
        <v>40354</v>
      </c>
      <c r="I246" s="109">
        <v>40357</v>
      </c>
      <c r="J246" s="71"/>
      <c r="K246" s="110"/>
    </row>
    <row r="247" spans="1:11" ht="18.75" customHeight="1">
      <c r="A247" s="71" t="s">
        <v>821</v>
      </c>
      <c r="B247" s="107" t="s">
        <v>2524</v>
      </c>
      <c r="C247" s="71"/>
      <c r="D247" s="71" t="s">
        <v>822</v>
      </c>
      <c r="E247" s="108">
        <v>739000</v>
      </c>
      <c r="F247" s="109">
        <v>40403</v>
      </c>
      <c r="G247" s="109"/>
      <c r="H247" s="109"/>
      <c r="I247" s="109"/>
      <c r="J247" s="71"/>
      <c r="K247" s="110"/>
    </row>
    <row r="248" spans="1:11">
      <c r="A248" s="71" t="s">
        <v>833</v>
      </c>
      <c r="B248" s="107" t="s">
        <v>434</v>
      </c>
      <c r="C248" s="71"/>
      <c r="D248" s="71" t="s">
        <v>834</v>
      </c>
      <c r="E248" s="108">
        <v>650000</v>
      </c>
      <c r="F248" s="109">
        <v>40372</v>
      </c>
      <c r="G248" s="109"/>
      <c r="H248" s="109">
        <v>40429</v>
      </c>
      <c r="I248" s="109"/>
      <c r="J248" s="71"/>
      <c r="K248" s="110"/>
    </row>
    <row r="249" spans="1:11">
      <c r="A249" s="71" t="s">
        <v>835</v>
      </c>
      <c r="B249" s="107" t="s">
        <v>434</v>
      </c>
      <c r="C249" s="71"/>
      <c r="D249" s="71" t="s">
        <v>836</v>
      </c>
      <c r="E249" s="108">
        <v>350000</v>
      </c>
      <c r="F249" s="109">
        <v>40372</v>
      </c>
      <c r="G249" s="109"/>
      <c r="H249" s="109">
        <v>40401</v>
      </c>
      <c r="I249" s="109"/>
      <c r="J249" s="71"/>
      <c r="K249" s="110"/>
    </row>
    <row r="250" spans="1:11">
      <c r="A250" s="71" t="s">
        <v>839</v>
      </c>
      <c r="B250" s="107" t="s">
        <v>2520</v>
      </c>
      <c r="C250" s="71" t="s">
        <v>417</v>
      </c>
      <c r="D250" s="71" t="s">
        <v>840</v>
      </c>
      <c r="E250" s="108">
        <v>1051034</v>
      </c>
      <c r="F250" s="109">
        <v>40407</v>
      </c>
      <c r="G250" s="109"/>
      <c r="H250" s="109">
        <v>40415</v>
      </c>
      <c r="I250" s="109"/>
      <c r="J250" s="71"/>
      <c r="K250" s="110"/>
    </row>
    <row r="251" spans="1:11" ht="14.25" customHeight="1">
      <c r="A251" s="71" t="s">
        <v>841</v>
      </c>
      <c r="B251" s="107" t="s">
        <v>2520</v>
      </c>
      <c r="C251" s="71" t="s">
        <v>842</v>
      </c>
      <c r="D251" s="71" t="s">
        <v>843</v>
      </c>
      <c r="E251" s="108">
        <v>280000</v>
      </c>
      <c r="F251" s="109">
        <v>40394</v>
      </c>
      <c r="G251" s="109"/>
      <c r="H251" s="109">
        <v>40409</v>
      </c>
      <c r="I251" s="109"/>
      <c r="J251" s="71"/>
      <c r="K251" s="110"/>
    </row>
    <row r="252" spans="1:11">
      <c r="A252" s="71" t="s">
        <v>844</v>
      </c>
      <c r="B252" s="107" t="s">
        <v>2520</v>
      </c>
      <c r="C252" s="71" t="s">
        <v>842</v>
      </c>
      <c r="D252" s="71" t="s">
        <v>845</v>
      </c>
      <c r="E252" s="108">
        <v>280000</v>
      </c>
      <c r="F252" s="109">
        <v>40394</v>
      </c>
      <c r="G252" s="109"/>
      <c r="H252" s="109">
        <v>40402</v>
      </c>
      <c r="I252" s="109"/>
      <c r="J252" s="71"/>
      <c r="K252" s="110"/>
    </row>
    <row r="253" spans="1:11">
      <c r="A253" s="71" t="s">
        <v>846</v>
      </c>
      <c r="B253" s="107" t="s">
        <v>2520</v>
      </c>
      <c r="C253" s="71" t="s">
        <v>842</v>
      </c>
      <c r="D253" s="71" t="s">
        <v>847</v>
      </c>
      <c r="E253" s="108">
        <v>280000</v>
      </c>
      <c r="F253" s="109">
        <v>40394</v>
      </c>
      <c r="G253" s="109"/>
      <c r="H253" s="109">
        <v>40402</v>
      </c>
      <c r="I253" s="109"/>
      <c r="J253" s="71"/>
      <c r="K253" s="110"/>
    </row>
    <row r="254" spans="1:11">
      <c r="A254" s="71" t="s">
        <v>859</v>
      </c>
      <c r="B254" s="107" t="s">
        <v>1415</v>
      </c>
      <c r="C254" s="71"/>
      <c r="D254" s="71" t="s">
        <v>860</v>
      </c>
      <c r="E254" s="108">
        <v>140000</v>
      </c>
      <c r="F254" s="109">
        <v>40365</v>
      </c>
      <c r="G254" s="109"/>
      <c r="H254" s="109">
        <v>40387</v>
      </c>
      <c r="I254" s="109"/>
      <c r="J254" s="71"/>
      <c r="K254" s="110"/>
    </row>
    <row r="255" spans="1:11">
      <c r="A255" s="71" t="s">
        <v>861</v>
      </c>
      <c r="B255" s="107" t="s">
        <v>1415</v>
      </c>
      <c r="C255" s="71"/>
      <c r="D255" s="71" t="s">
        <v>862</v>
      </c>
      <c r="E255" s="108">
        <v>700000</v>
      </c>
      <c r="F255" s="109">
        <v>40351</v>
      </c>
      <c r="G255" s="109"/>
      <c r="H255" s="109">
        <v>40430</v>
      </c>
      <c r="I255" s="109"/>
      <c r="J255" s="71"/>
      <c r="K255" s="110"/>
    </row>
    <row r="256" spans="1:11">
      <c r="A256" s="71" t="s">
        <v>863</v>
      </c>
      <c r="B256" s="107" t="s">
        <v>1415</v>
      </c>
      <c r="C256" s="71"/>
      <c r="D256" s="71" t="s">
        <v>864</v>
      </c>
      <c r="E256" s="108">
        <v>480000</v>
      </c>
      <c r="F256" s="109">
        <v>40351</v>
      </c>
      <c r="G256" s="109"/>
      <c r="H256" s="109">
        <v>40367</v>
      </c>
      <c r="I256" s="109"/>
      <c r="J256" s="71"/>
      <c r="K256" s="110"/>
    </row>
    <row r="257" spans="1:11" ht="12.75" customHeight="1">
      <c r="A257" s="71" t="s">
        <v>865</v>
      </c>
      <c r="B257" s="107" t="s">
        <v>1415</v>
      </c>
      <c r="C257" s="71"/>
      <c r="D257" s="71" t="s">
        <v>866</v>
      </c>
      <c r="E257" s="108">
        <v>225000</v>
      </c>
      <c r="F257" s="109">
        <v>40365</v>
      </c>
      <c r="G257" s="109"/>
      <c r="H257" s="109">
        <v>40353</v>
      </c>
      <c r="I257" s="109"/>
      <c r="J257" s="71"/>
      <c r="K257" s="110" t="s">
        <v>867</v>
      </c>
    </row>
    <row r="258" spans="1:11" ht="12.75" customHeight="1">
      <c r="A258" s="71" t="s">
        <v>880</v>
      </c>
      <c r="B258" s="107" t="s">
        <v>2520</v>
      </c>
      <c r="C258" s="71" t="s">
        <v>881</v>
      </c>
      <c r="D258" s="71" t="s">
        <v>882</v>
      </c>
      <c r="E258" s="108">
        <v>190000</v>
      </c>
      <c r="F258" s="109">
        <v>40409</v>
      </c>
      <c r="G258" s="109"/>
      <c r="H258" s="109">
        <v>40437</v>
      </c>
      <c r="I258" s="109"/>
      <c r="J258" s="71"/>
      <c r="K258" s="110"/>
    </row>
    <row r="259" spans="1:11">
      <c r="A259" s="71" t="s">
        <v>883</v>
      </c>
      <c r="B259" s="107" t="s">
        <v>434</v>
      </c>
      <c r="C259" s="71" t="s">
        <v>884</v>
      </c>
      <c r="D259" s="71" t="s">
        <v>885</v>
      </c>
      <c r="E259" s="108">
        <v>648900</v>
      </c>
      <c r="F259" s="109">
        <v>40317</v>
      </c>
      <c r="G259" s="109"/>
      <c r="H259" s="109">
        <v>40402</v>
      </c>
      <c r="I259" s="109"/>
      <c r="J259" s="71"/>
      <c r="K259" s="110"/>
    </row>
    <row r="260" spans="1:11" ht="20.25" customHeight="1">
      <c r="A260" s="71" t="s">
        <v>900</v>
      </c>
      <c r="B260" s="107" t="s">
        <v>2524</v>
      </c>
      <c r="C260" s="71"/>
      <c r="D260" s="71" t="s">
        <v>901</v>
      </c>
      <c r="E260" s="108">
        <v>300000</v>
      </c>
      <c r="F260" s="109">
        <v>40403</v>
      </c>
      <c r="G260" s="109"/>
      <c r="H260" s="109">
        <v>40420</v>
      </c>
      <c r="I260" s="109"/>
      <c r="J260" s="71"/>
      <c r="K260" s="110"/>
    </row>
    <row r="261" spans="1:11" ht="15" customHeight="1">
      <c r="A261" s="71" t="s">
        <v>910</v>
      </c>
      <c r="B261" s="107" t="s">
        <v>2524</v>
      </c>
      <c r="C261" s="71"/>
      <c r="D261" s="71" t="s">
        <v>911</v>
      </c>
      <c r="E261" s="108">
        <v>2600000</v>
      </c>
      <c r="F261" s="109">
        <v>40444</v>
      </c>
      <c r="G261" s="109"/>
      <c r="H261" s="109">
        <v>40434</v>
      </c>
      <c r="I261" s="109"/>
      <c r="J261" s="71"/>
      <c r="K261" s="110" t="s">
        <v>2877</v>
      </c>
    </row>
    <row r="262" spans="1:11">
      <c r="A262" s="71" t="s">
        <v>916</v>
      </c>
      <c r="B262" s="107" t="s">
        <v>917</v>
      </c>
      <c r="C262" s="71" t="s">
        <v>1482</v>
      </c>
      <c r="D262" s="71" t="s">
        <v>918</v>
      </c>
      <c r="E262" s="108">
        <v>258530</v>
      </c>
      <c r="F262" s="109" t="s">
        <v>637</v>
      </c>
      <c r="G262" s="109"/>
      <c r="H262" s="109">
        <v>40438</v>
      </c>
      <c r="I262" s="109"/>
      <c r="J262" s="71"/>
      <c r="K262" s="110"/>
    </row>
    <row r="263" spans="1:11">
      <c r="A263" s="71" t="s">
        <v>926</v>
      </c>
      <c r="B263" s="107" t="s">
        <v>2520</v>
      </c>
      <c r="C263" s="71" t="s">
        <v>148</v>
      </c>
      <c r="D263" s="71" t="s">
        <v>927</v>
      </c>
      <c r="E263" s="108">
        <v>273700</v>
      </c>
      <c r="F263" s="109">
        <v>40421</v>
      </c>
      <c r="G263" s="109"/>
      <c r="H263" s="109">
        <v>40430</v>
      </c>
      <c r="I263" s="109">
        <v>40430</v>
      </c>
      <c r="J263" s="71"/>
      <c r="K263" s="110"/>
    </row>
    <row r="264" spans="1:11">
      <c r="A264" s="71" t="s">
        <v>928</v>
      </c>
      <c r="B264" s="107" t="s">
        <v>2520</v>
      </c>
      <c r="C264" s="71" t="s">
        <v>148</v>
      </c>
      <c r="D264" s="71" t="s">
        <v>927</v>
      </c>
      <c r="E264" s="108">
        <v>276550</v>
      </c>
      <c r="F264" s="109">
        <v>40421</v>
      </c>
      <c r="G264" s="109"/>
      <c r="H264" s="109">
        <v>40430</v>
      </c>
      <c r="I264" s="109">
        <v>40430</v>
      </c>
      <c r="J264" s="71"/>
      <c r="K264" s="110"/>
    </row>
    <row r="265" spans="1:11">
      <c r="A265" s="71" t="s">
        <v>929</v>
      </c>
      <c r="B265" s="107" t="s">
        <v>2520</v>
      </c>
      <c r="C265" s="71" t="s">
        <v>148</v>
      </c>
      <c r="D265" s="71" t="s">
        <v>927</v>
      </c>
      <c r="E265" s="108">
        <v>278450</v>
      </c>
      <c r="F265" s="109">
        <v>40421</v>
      </c>
      <c r="G265" s="109"/>
      <c r="H265" s="109">
        <v>40430</v>
      </c>
      <c r="I265" s="109">
        <v>40430</v>
      </c>
      <c r="J265" s="71"/>
      <c r="K265" s="110"/>
    </row>
    <row r="266" spans="1:11">
      <c r="A266" s="71" t="s">
        <v>930</v>
      </c>
      <c r="B266" s="107" t="s">
        <v>2524</v>
      </c>
      <c r="C266" s="71"/>
      <c r="D266" s="71" t="s">
        <v>931</v>
      </c>
      <c r="E266" s="108">
        <v>180000</v>
      </c>
      <c r="F266" s="109">
        <v>40406</v>
      </c>
      <c r="G266" s="109"/>
      <c r="H266" s="109">
        <v>40424</v>
      </c>
      <c r="I266" s="109"/>
      <c r="J266" s="71"/>
      <c r="K266" s="110"/>
    </row>
    <row r="267" spans="1:11">
      <c r="A267" s="71" t="s">
        <v>944</v>
      </c>
      <c r="B267" s="107" t="s">
        <v>2520</v>
      </c>
      <c r="C267" s="71" t="s">
        <v>148</v>
      </c>
      <c r="D267" s="71" t="s">
        <v>945</v>
      </c>
      <c r="E267" s="108">
        <v>296650</v>
      </c>
      <c r="F267" s="109">
        <v>40423</v>
      </c>
      <c r="G267" s="109"/>
      <c r="H267" s="109">
        <v>40434</v>
      </c>
      <c r="I267" s="109">
        <v>40434</v>
      </c>
      <c r="J267" s="71"/>
      <c r="K267" s="110"/>
    </row>
    <row r="268" spans="1:11">
      <c r="A268" s="71" t="s">
        <v>946</v>
      </c>
      <c r="B268" s="107" t="s">
        <v>2520</v>
      </c>
      <c r="C268" s="71" t="s">
        <v>148</v>
      </c>
      <c r="D268" s="71" t="s">
        <v>947</v>
      </c>
      <c r="E268" s="108">
        <v>298650</v>
      </c>
      <c r="F268" s="109">
        <v>40423</v>
      </c>
      <c r="G268" s="109"/>
      <c r="H268" s="109">
        <v>40434</v>
      </c>
      <c r="I268" s="109">
        <v>40434</v>
      </c>
      <c r="J268" s="71"/>
      <c r="K268" s="110"/>
    </row>
    <row r="269" spans="1:11">
      <c r="A269" s="71" t="s">
        <v>963</v>
      </c>
      <c r="B269" s="107" t="s">
        <v>964</v>
      </c>
      <c r="C269" s="71"/>
      <c r="D269" s="71" t="s">
        <v>965</v>
      </c>
      <c r="E269" s="108">
        <v>270000</v>
      </c>
      <c r="F269" s="109">
        <v>40451</v>
      </c>
      <c r="G269" s="109"/>
      <c r="H269" s="109">
        <v>40457</v>
      </c>
      <c r="I269" s="109"/>
      <c r="J269" s="71"/>
      <c r="K269" s="110"/>
    </row>
    <row r="270" spans="1:11">
      <c r="A270" s="71" t="s">
        <v>966</v>
      </c>
      <c r="B270" s="107" t="s">
        <v>2520</v>
      </c>
      <c r="C270" s="71"/>
      <c r="D270" s="71" t="s">
        <v>967</v>
      </c>
      <c r="E270" s="108">
        <v>220000</v>
      </c>
      <c r="F270" s="109">
        <v>40435</v>
      </c>
      <c r="G270" s="109"/>
      <c r="H270" s="109">
        <v>40473</v>
      </c>
      <c r="I270" s="109"/>
      <c r="J270" s="71"/>
      <c r="K270" s="110"/>
    </row>
    <row r="271" spans="1:11" ht="17.25" customHeight="1">
      <c r="A271" s="71" t="s">
        <v>968</v>
      </c>
      <c r="B271" s="107" t="s">
        <v>2520</v>
      </c>
      <c r="C271" s="71"/>
      <c r="D271" s="71" t="s">
        <v>969</v>
      </c>
      <c r="E271" s="108">
        <v>220000</v>
      </c>
      <c r="F271" s="109">
        <v>40435</v>
      </c>
      <c r="G271" s="109"/>
      <c r="H271" s="109">
        <v>40473</v>
      </c>
      <c r="I271" s="109"/>
      <c r="J271" s="71"/>
      <c r="K271" s="110"/>
    </row>
    <row r="272" spans="1:11">
      <c r="A272" s="71" t="s">
        <v>970</v>
      </c>
      <c r="B272" s="107" t="s">
        <v>2520</v>
      </c>
      <c r="C272" s="71"/>
      <c r="D272" s="71" t="s">
        <v>971</v>
      </c>
      <c r="E272" s="108">
        <v>220000</v>
      </c>
      <c r="F272" s="109">
        <v>40435</v>
      </c>
      <c r="G272" s="109"/>
      <c r="H272" s="109">
        <v>40473</v>
      </c>
      <c r="I272" s="109"/>
      <c r="J272" s="71"/>
      <c r="K272" s="110"/>
    </row>
    <row r="273" spans="1:11">
      <c r="A273" s="71" t="s">
        <v>988</v>
      </c>
      <c r="B273" s="107" t="s">
        <v>2520</v>
      </c>
      <c r="C273" s="71"/>
      <c r="D273" s="71" t="s">
        <v>989</v>
      </c>
      <c r="E273" s="108">
        <v>1500000</v>
      </c>
      <c r="F273" s="109">
        <v>40437</v>
      </c>
      <c r="G273" s="109"/>
      <c r="H273" s="109"/>
      <c r="I273" s="109"/>
      <c r="J273" s="71"/>
      <c r="K273" s="110"/>
    </row>
    <row r="274" spans="1:11">
      <c r="A274" s="17" t="s">
        <v>2496</v>
      </c>
      <c r="B274" s="107"/>
      <c r="C274" s="71"/>
      <c r="D274" s="71"/>
      <c r="E274" s="112">
        <f>SUM(E130:E273)</f>
        <v>89853923.320000008</v>
      </c>
      <c r="F274" s="109"/>
      <c r="G274" s="109"/>
      <c r="H274" s="109"/>
      <c r="I274" s="109"/>
      <c r="J274" s="71"/>
      <c r="K274" s="110"/>
    </row>
    <row r="275" spans="1:11">
      <c r="A275" s="71"/>
      <c r="B275" s="107"/>
      <c r="C275" s="71"/>
      <c r="D275" s="71"/>
      <c r="E275" s="108"/>
      <c r="F275" s="109"/>
      <c r="G275" s="109"/>
      <c r="H275" s="109"/>
      <c r="I275" s="109"/>
      <c r="J275" s="71"/>
      <c r="K275" s="110"/>
    </row>
    <row r="276" spans="1:11">
      <c r="A276" s="71"/>
      <c r="B276" s="107"/>
      <c r="C276" s="71"/>
      <c r="D276" s="71"/>
      <c r="E276" s="108"/>
      <c r="F276" s="109"/>
      <c r="G276" s="109"/>
      <c r="H276" s="109"/>
      <c r="I276" s="109"/>
      <c r="J276" s="71"/>
      <c r="K276" s="110"/>
    </row>
    <row r="277" spans="1:11">
      <c r="A277" s="17" t="s">
        <v>990</v>
      </c>
      <c r="B277" s="107"/>
      <c r="D277" s="71"/>
      <c r="E277" s="108"/>
      <c r="F277" s="109"/>
      <c r="G277" s="109"/>
      <c r="H277" s="109"/>
      <c r="I277" s="109"/>
      <c r="J277" s="71"/>
      <c r="K277" s="110"/>
    </row>
    <row r="278" spans="1:11">
      <c r="A278" s="71" t="s">
        <v>996</v>
      </c>
      <c r="B278" s="107" t="s">
        <v>2524</v>
      </c>
      <c r="C278" s="71"/>
      <c r="D278" s="71" t="s">
        <v>997</v>
      </c>
      <c r="E278" s="108">
        <v>100000</v>
      </c>
      <c r="F278" s="109">
        <v>40458</v>
      </c>
      <c r="G278" s="109"/>
      <c r="H278" s="109"/>
      <c r="I278" s="109"/>
      <c r="J278" s="71"/>
      <c r="K278" s="110"/>
    </row>
    <row r="279" spans="1:11">
      <c r="A279" s="71" t="s">
        <v>1022</v>
      </c>
      <c r="B279" s="107" t="s">
        <v>1023</v>
      </c>
      <c r="C279" s="71"/>
      <c r="D279" s="71" t="s">
        <v>1024</v>
      </c>
      <c r="E279" s="108">
        <v>115000</v>
      </c>
      <c r="F279" s="109">
        <v>40456</v>
      </c>
      <c r="G279" s="109"/>
      <c r="H279" s="109">
        <v>40463</v>
      </c>
      <c r="I279" s="109"/>
      <c r="J279" s="71"/>
      <c r="K279" s="110"/>
    </row>
    <row r="280" spans="1:11">
      <c r="A280" s="71" t="s">
        <v>1030</v>
      </c>
      <c r="B280" s="107" t="s">
        <v>2520</v>
      </c>
      <c r="C280" s="71"/>
      <c r="D280" s="71" t="s">
        <v>1031</v>
      </c>
      <c r="E280" s="108">
        <v>137000</v>
      </c>
      <c r="F280" s="109">
        <v>40492</v>
      </c>
      <c r="G280" s="109"/>
      <c r="H280" s="109">
        <v>40501</v>
      </c>
      <c r="I280" s="109"/>
      <c r="J280" s="71"/>
      <c r="K280" s="110"/>
    </row>
    <row r="281" spans="1:11">
      <c r="A281" s="71" t="s">
        <v>1032</v>
      </c>
      <c r="B281" s="107" t="s">
        <v>2520</v>
      </c>
      <c r="C281" s="71"/>
      <c r="D281" s="71" t="s">
        <v>1033</v>
      </c>
      <c r="E281" s="108">
        <v>131000</v>
      </c>
      <c r="F281" s="109">
        <v>40492</v>
      </c>
      <c r="G281" s="109"/>
      <c r="H281" s="109">
        <v>40501</v>
      </c>
      <c r="I281" s="109"/>
      <c r="J281" s="71"/>
      <c r="K281" s="110"/>
    </row>
    <row r="282" spans="1:11">
      <c r="A282" s="71" t="s">
        <v>1034</v>
      </c>
      <c r="B282" s="107" t="s">
        <v>2520</v>
      </c>
      <c r="C282" s="71"/>
      <c r="D282" s="71" t="s">
        <v>1035</v>
      </c>
      <c r="E282" s="108">
        <v>129000</v>
      </c>
      <c r="F282" s="109">
        <v>40492</v>
      </c>
      <c r="G282" s="109"/>
      <c r="H282" s="109">
        <v>40501</v>
      </c>
      <c r="I282" s="109"/>
      <c r="J282" s="71"/>
      <c r="K282" s="110"/>
    </row>
    <row r="283" spans="1:11">
      <c r="A283" s="17" t="s">
        <v>2498</v>
      </c>
      <c r="E283" s="113">
        <f>SUM(E278:E282)</f>
        <v>612000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N35" sqref="N35"/>
    </sheetView>
  </sheetViews>
  <sheetFormatPr defaultRowHeight="12.75"/>
  <cols>
    <col min="1" max="1" width="7" style="47" customWidth="1"/>
    <col min="2" max="2" width="1.7109375" style="47" customWidth="1"/>
    <col min="3" max="3" width="53.140625" style="47" customWidth="1"/>
    <col min="4" max="4" width="1.7109375" style="47" customWidth="1"/>
    <col min="5" max="5" width="21.42578125" style="47" customWidth="1"/>
    <col min="6" max="6" width="1.7109375" style="47" customWidth="1"/>
    <col min="7" max="7" width="9.28515625" style="47" customWidth="1"/>
    <col min="8" max="8" width="1.7109375" style="47" customWidth="1"/>
    <col min="9" max="9" width="22.5703125" style="47" customWidth="1"/>
    <col min="10" max="10" width="1.7109375" style="47" customWidth="1"/>
    <col min="11" max="11" width="13.140625" style="47" bestFit="1" customWidth="1"/>
    <col min="12" max="16384" width="9.140625" style="47"/>
  </cols>
  <sheetData>
    <row r="1" spans="1:11" s="136" customFormat="1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.75" customHeight="1">
      <c r="A2" s="132" t="s">
        <v>4507</v>
      </c>
      <c r="B2" s="121"/>
      <c r="C2" s="132" t="s">
        <v>4508</v>
      </c>
      <c r="D2" s="121"/>
      <c r="E2" s="133" t="s">
        <v>4505</v>
      </c>
      <c r="F2" s="122"/>
      <c r="G2" s="133" t="s">
        <v>4031</v>
      </c>
      <c r="H2" s="122"/>
      <c r="I2" s="133" t="s">
        <v>4506</v>
      </c>
      <c r="J2" s="122"/>
      <c r="K2" s="133" t="s">
        <v>4031</v>
      </c>
    </row>
    <row r="3" spans="1:11">
      <c r="A3" s="121">
        <v>1</v>
      </c>
      <c r="B3" s="121"/>
      <c r="C3" s="123" t="s">
        <v>3500</v>
      </c>
      <c r="D3" s="121"/>
      <c r="E3" s="123" t="s">
        <v>4016</v>
      </c>
      <c r="F3" s="121"/>
      <c r="G3" s="124">
        <f>1-(((33.35/48.35)+(36.46/51.46)+(39.57/54.57))/3)</f>
        <v>0.2922008964881101</v>
      </c>
      <c r="H3" s="121"/>
      <c r="I3" s="123" t="s">
        <v>4486</v>
      </c>
      <c r="J3" s="121"/>
      <c r="K3" s="125">
        <f>1-((44.49/59.52)+(48.94/63.97)+(53.39/68.42))/3</f>
        <v>0.23571555209053197</v>
      </c>
    </row>
    <row r="4" spans="1:11">
      <c r="A4" s="121">
        <v>2</v>
      </c>
      <c r="B4" s="121"/>
      <c r="C4" s="123" t="s">
        <v>3505</v>
      </c>
      <c r="D4" s="121"/>
      <c r="E4" s="123" t="s">
        <v>4032</v>
      </c>
      <c r="F4" s="121"/>
      <c r="G4" s="124"/>
      <c r="H4" s="121"/>
      <c r="I4" s="123" t="s">
        <v>4488</v>
      </c>
      <c r="J4" s="121"/>
      <c r="K4" s="125">
        <f>1-(39.64/55.95)</f>
        <v>0.29151027703306531</v>
      </c>
    </row>
    <row r="5" spans="1:11">
      <c r="A5" s="121">
        <v>3</v>
      </c>
      <c r="B5" s="121"/>
      <c r="C5" s="123" t="s">
        <v>3507</v>
      </c>
      <c r="D5" s="121"/>
      <c r="E5" s="123" t="s">
        <v>1043</v>
      </c>
      <c r="F5" s="121"/>
      <c r="G5" s="124">
        <f>1-(((40.8/65.44)+(42.05/66.69)+(43.3/67.94))/3)</f>
        <v>0.3695572497790881</v>
      </c>
      <c r="H5" s="121"/>
      <c r="I5" s="123" t="s">
        <v>1043</v>
      </c>
      <c r="J5" s="121"/>
      <c r="K5" s="125">
        <f>1-((40.05/65.94)+(41.3/67.19)+(42.55/68.44))/3</f>
        <v>0.3854141372239831</v>
      </c>
    </row>
    <row r="6" spans="1:11">
      <c r="A6" s="121">
        <v>4</v>
      </c>
      <c r="B6" s="121"/>
      <c r="C6" s="123" t="s">
        <v>3509</v>
      </c>
      <c r="D6" s="121"/>
      <c r="E6" s="123" t="s">
        <v>1044</v>
      </c>
      <c r="F6" s="121"/>
      <c r="G6" s="124">
        <f>1-((23.74/32.68)+(24.99/33.93)+(26.74/35.68))/3</f>
        <v>0.26253533080536251</v>
      </c>
      <c r="H6" s="121"/>
      <c r="I6" s="123" t="s">
        <v>1044</v>
      </c>
      <c r="J6" s="121"/>
      <c r="K6" s="125">
        <f>1-((34.02/44.71)+(35.02/45.71)+(36.02/46.71)+(37.02/47.71)+(38.02/48.71)+(39.02/49.71))/6</f>
        <v>0.2267320715169211</v>
      </c>
    </row>
    <row r="7" spans="1:11">
      <c r="A7" s="121">
        <v>5</v>
      </c>
      <c r="B7" s="121"/>
      <c r="C7" s="123" t="s">
        <v>3514</v>
      </c>
      <c r="D7" s="121"/>
      <c r="E7" s="123" t="s">
        <v>4485</v>
      </c>
      <c r="F7" s="121"/>
      <c r="G7" s="124">
        <f>1-((27.54/38.8)+(30.29/41.55))/2</f>
        <v>0.28060249109878788</v>
      </c>
      <c r="H7" s="121"/>
      <c r="I7" s="123" t="s">
        <v>4487</v>
      </c>
      <c r="J7" s="121"/>
      <c r="K7" s="125">
        <f>1-((34.73/48.95)+(35.73/49.95)+(37.86/52.08)+(41.27/55.49))/4</f>
        <v>0.27612226492101088</v>
      </c>
    </row>
    <row r="8" spans="1:11">
      <c r="A8" s="121">
        <v>6</v>
      </c>
      <c r="B8" s="121"/>
      <c r="C8" s="123" t="s">
        <v>3517</v>
      </c>
      <c r="D8" s="121"/>
      <c r="E8" s="123" t="s">
        <v>1045</v>
      </c>
      <c r="F8" s="121"/>
      <c r="G8" s="124">
        <f>1-((25.98/34.4)+(27.98/36.4))/2</f>
        <v>0.23804306158957322</v>
      </c>
      <c r="H8" s="121"/>
      <c r="I8" s="123" t="s">
        <v>1045</v>
      </c>
      <c r="J8" s="121"/>
      <c r="K8" s="125">
        <f>1-((34.17/46.28)+(36.17/48.28)+(37.92/50.03))/3</f>
        <v>0.25151712490923062</v>
      </c>
    </row>
    <row r="9" spans="1:11">
      <c r="A9" s="121">
        <v>7</v>
      </c>
      <c r="B9" s="121"/>
      <c r="C9" s="123" t="s">
        <v>4017</v>
      </c>
      <c r="D9" s="121"/>
      <c r="E9" s="123" t="s">
        <v>1046</v>
      </c>
      <c r="F9" s="121"/>
      <c r="G9" s="124">
        <f>1-((21.7/29.36)+(24.71/32.46)+(27.04/34.86))/3</f>
        <v>0.24132681624678753</v>
      </c>
      <c r="H9" s="121"/>
      <c r="I9" s="123" t="s">
        <v>4488</v>
      </c>
      <c r="J9" s="121"/>
      <c r="K9" s="125">
        <f>1-((28.08/39.83)+(39.64/55.95)+(44/60.53)+(48.36/63.93))/4</f>
        <v>0.27578734958853413</v>
      </c>
    </row>
    <row r="10" spans="1:11">
      <c r="A10" s="121">
        <v>8</v>
      </c>
      <c r="B10" s="121"/>
      <c r="C10" s="123" t="s">
        <v>4018</v>
      </c>
      <c r="D10" s="121"/>
      <c r="E10" s="123" t="s">
        <v>1047</v>
      </c>
      <c r="F10" s="121"/>
      <c r="G10" s="124">
        <f>1-((28.19/40.5)+(46.14/59.9)+(50.75/65.16)+(55.38/70.45)+(36.85/49.49))/5</f>
        <v>0.24482609233788921</v>
      </c>
      <c r="H10" s="121"/>
      <c r="I10" s="123" t="s">
        <v>4489</v>
      </c>
      <c r="J10" s="121"/>
      <c r="K10" s="125">
        <f>1-((22.45/35.33)+(38.28/52.82)+(42.7/57.86)+(47.18/62.97)+(29.58/43.37))/5</f>
        <v>0.29411300329604206</v>
      </c>
    </row>
    <row r="11" spans="1:11">
      <c r="A11" s="121">
        <v>9</v>
      </c>
      <c r="B11" s="121"/>
      <c r="C11" s="123" t="s">
        <v>4019</v>
      </c>
      <c r="D11" s="121"/>
      <c r="E11" s="123" t="s">
        <v>1046</v>
      </c>
      <c r="F11" s="121"/>
      <c r="G11" s="124"/>
      <c r="H11" s="121"/>
      <c r="I11" s="123" t="s">
        <v>4488</v>
      </c>
      <c r="J11" s="121"/>
      <c r="K11" s="125">
        <f>1-((30.07/45.52)+(31.07/46.52))/2</f>
        <v>0.33576323353184834</v>
      </c>
    </row>
    <row r="12" spans="1:11">
      <c r="A12" s="121">
        <v>10</v>
      </c>
      <c r="B12" s="121"/>
      <c r="C12" s="123" t="s">
        <v>4020</v>
      </c>
      <c r="D12" s="121"/>
      <c r="E12" s="123" t="s">
        <v>1046</v>
      </c>
      <c r="F12" s="121"/>
      <c r="G12" s="124">
        <f>1-((36.9/50.78)+(40.59/54.58)+(40.59/54.58)+(44.28/58.38))/4</f>
        <v>0.2568747553255919</v>
      </c>
      <c r="H12" s="121"/>
      <c r="I12" s="123" t="s">
        <v>4488</v>
      </c>
      <c r="J12" s="121"/>
      <c r="K12" s="125">
        <f>1-((39.99/56.31)+(40.49/56.83)+(44.39/60.84)+(48.79/65.37))/4</f>
        <v>0.27534071890870138</v>
      </c>
    </row>
    <row r="13" spans="1:11">
      <c r="A13" s="121">
        <v>11</v>
      </c>
      <c r="B13" s="121"/>
      <c r="C13" s="123" t="s">
        <v>3541</v>
      </c>
      <c r="D13" s="121"/>
      <c r="E13" s="123" t="s">
        <v>1048</v>
      </c>
      <c r="F13" s="121"/>
      <c r="G13" s="124">
        <f>1-((54.89/78.21)+(61.75/85.48)+(36.16/58.36)+(40.69/63.16))/4</f>
        <v>0.32798526511887638</v>
      </c>
      <c r="H13" s="121"/>
      <c r="I13" s="123" t="s">
        <v>4490</v>
      </c>
      <c r="J13" s="121"/>
      <c r="K13" s="125">
        <f>1-((45.33/64.58)+(51/70.59))/2</f>
        <v>0.28779898147327987</v>
      </c>
    </row>
    <row r="14" spans="1:11">
      <c r="A14" s="121">
        <v>12</v>
      </c>
      <c r="B14" s="121"/>
      <c r="C14" s="123" t="s">
        <v>3544</v>
      </c>
      <c r="D14" s="121"/>
      <c r="E14" s="123" t="s">
        <v>1049</v>
      </c>
      <c r="F14" s="121"/>
      <c r="G14" s="124">
        <f>1-((22.4/30.82)+(19.53/27.95))/2</f>
        <v>0.28722572871041852</v>
      </c>
      <c r="H14" s="121"/>
      <c r="I14" s="123" t="s">
        <v>4491</v>
      </c>
      <c r="J14" s="121"/>
      <c r="K14" s="125">
        <f>1-(25.31/42.94)</f>
        <v>0.4105728924080112</v>
      </c>
    </row>
    <row r="15" spans="1:11">
      <c r="A15" s="121">
        <v>13</v>
      </c>
      <c r="B15" s="121"/>
      <c r="C15" s="123" t="s">
        <v>3549</v>
      </c>
      <c r="D15" s="121"/>
      <c r="E15" s="123" t="s">
        <v>1050</v>
      </c>
      <c r="F15" s="121"/>
      <c r="G15" s="124">
        <f>1-((25.93/36.34)+(28.52/38.93))/2</f>
        <v>0.27693211543064256</v>
      </c>
      <c r="H15" s="121"/>
      <c r="I15" s="123" t="s">
        <v>4492</v>
      </c>
      <c r="J15" s="121"/>
      <c r="K15" s="125">
        <f>1-(23.81/41.44)</f>
        <v>0.42543436293436299</v>
      </c>
    </row>
    <row r="16" spans="1:11">
      <c r="A16" s="121">
        <v>14</v>
      </c>
      <c r="B16" s="121"/>
      <c r="C16" s="123" t="s">
        <v>3552</v>
      </c>
      <c r="D16" s="121"/>
      <c r="E16" s="126" t="s">
        <v>4503</v>
      </c>
      <c r="F16" s="121"/>
      <c r="G16" s="124">
        <f>1-((25/31.51)+(27.5/34.01)+(28.75/35.26))/3</f>
        <v>0.19421461437632725</v>
      </c>
      <c r="H16" s="121"/>
      <c r="I16" s="123" t="s">
        <v>4504</v>
      </c>
      <c r="J16" s="121"/>
      <c r="K16" s="125">
        <f>1-((41.95/57.51)+(46.14/61.7))/2</f>
        <v>0.26137482396832112</v>
      </c>
    </row>
    <row r="17" spans="1:11">
      <c r="A17" s="121">
        <v>15</v>
      </c>
      <c r="B17" s="121"/>
      <c r="C17" s="123" t="s">
        <v>3554</v>
      </c>
      <c r="D17" s="121"/>
      <c r="E17" s="123" t="s">
        <v>1049</v>
      </c>
      <c r="F17" s="121"/>
      <c r="G17" s="124">
        <f>1-(25.15/33.57)</f>
        <v>0.25081918379505519</v>
      </c>
      <c r="H17" s="121"/>
      <c r="I17" s="123" t="s">
        <v>4491</v>
      </c>
      <c r="J17" s="121"/>
      <c r="K17" s="125">
        <f>1-((25.31/42.94)+(27.31/44.94)+(28.31/45.94))/3</f>
        <v>0.39554505530979467</v>
      </c>
    </row>
    <row r="18" spans="1:11">
      <c r="A18" s="121">
        <v>16</v>
      </c>
      <c r="B18" s="121"/>
      <c r="C18" s="123" t="s">
        <v>4021</v>
      </c>
      <c r="D18" s="121"/>
      <c r="E18" s="123" t="s">
        <v>1049</v>
      </c>
      <c r="F18" s="121"/>
      <c r="G18" s="124">
        <f>1-((21.68/30.1)+(22.18/30.6))/2</f>
        <v>0.27744880898095681</v>
      </c>
      <c r="H18" s="121"/>
      <c r="I18" s="123" t="s">
        <v>4491</v>
      </c>
      <c r="J18" s="121"/>
      <c r="K18" s="125">
        <f>1-((25.87/43.31)+(27.87/45.31)+(28.87/46.31))/3</f>
        <v>0.38805829619609866</v>
      </c>
    </row>
    <row r="19" spans="1:11">
      <c r="A19" s="121">
        <v>17</v>
      </c>
      <c r="B19" s="121"/>
      <c r="C19" s="123" t="s">
        <v>4022</v>
      </c>
      <c r="D19" s="121"/>
      <c r="E19" s="123" t="s">
        <v>1049</v>
      </c>
      <c r="F19" s="121"/>
      <c r="G19" s="124">
        <f>1-((25.34/34.26)+(26.34/35.26)+(26.7/35.62))/3</f>
        <v>0.25458697615707748</v>
      </c>
      <c r="H19" s="121"/>
      <c r="I19" s="123" t="s">
        <v>4491</v>
      </c>
      <c r="J19" s="121"/>
      <c r="K19" s="125">
        <f>1-((26.71/44.34)+(28.71/46.34)+(29.71/47.34))/3</f>
        <v>0.38349019153938257</v>
      </c>
    </row>
    <row r="20" spans="1:11">
      <c r="A20" s="121">
        <v>18</v>
      </c>
      <c r="B20" s="121"/>
      <c r="C20" s="123" t="s">
        <v>4023</v>
      </c>
      <c r="D20" s="121"/>
      <c r="E20" s="123"/>
      <c r="F20" s="121"/>
      <c r="G20" s="124"/>
      <c r="H20" s="121"/>
      <c r="I20" s="123" t="s">
        <v>4502</v>
      </c>
      <c r="J20" s="121"/>
      <c r="K20" s="125">
        <f>1-((33/56.74)+(36.3/60.04)+(39.66/63.4))/3</f>
        <v>0.39608357738746092</v>
      </c>
    </row>
    <row r="21" spans="1:11">
      <c r="A21" s="121">
        <v>19</v>
      </c>
      <c r="B21" s="121"/>
      <c r="C21" s="123" t="s">
        <v>3568</v>
      </c>
      <c r="D21" s="121"/>
      <c r="E21" s="123" t="s">
        <v>1049</v>
      </c>
      <c r="F21" s="121"/>
      <c r="G21" s="124">
        <f>1-((17.24/25.66)+(18.74/27.16)+(22.4/30.82)+(19.53/27.95)+(22.5/30.92)+(22.65/31.07)+(22.9/31.32)+(24.15/32.57)+(23.2/31.62)+(23.2/31.62)+(22.9/31.32)+(22.55/30.97)+(23.6/32.02))/13</f>
        <v>0.27842512908981731</v>
      </c>
      <c r="H21" s="121"/>
      <c r="I21" s="123" t="s">
        <v>4491</v>
      </c>
      <c r="J21" s="121"/>
      <c r="K21" s="125">
        <f>1-((25.31/42.94)+(25.52/43.15)+(25.62/43.25)+(27.71/43.34)+(25.81/43.44)+(27.05/46.1)+(26.55/45.6)+(26.3/45.35)+(26.91/45.96)+(26.55/45.6)+(25.62/44.67))/11</f>
        <v>0.40936707324107102</v>
      </c>
    </row>
    <row r="22" spans="1:11">
      <c r="A22" s="121">
        <v>20</v>
      </c>
      <c r="B22" s="121"/>
      <c r="C22" s="123" t="s">
        <v>3930</v>
      </c>
      <c r="D22" s="121"/>
      <c r="E22" s="123" t="s">
        <v>4473</v>
      </c>
      <c r="F22" s="121"/>
      <c r="G22" s="124">
        <f>1-((27.49/39.39)+(28.49/40.39)+(29.49/41.39))/3</f>
        <v>0.29474785898845302</v>
      </c>
      <c r="H22" s="121"/>
      <c r="I22" s="123" t="s">
        <v>4493</v>
      </c>
      <c r="J22" s="121"/>
      <c r="K22" s="125">
        <f>1-((41.15/56.23)+(44.44/59.52)+(47.73/62.81))/3</f>
        <v>0.25387787203922974</v>
      </c>
    </row>
    <row r="23" spans="1:11">
      <c r="A23" s="121">
        <v>21</v>
      </c>
      <c r="B23" s="121"/>
      <c r="C23" s="123" t="s">
        <v>3925</v>
      </c>
      <c r="D23" s="121"/>
      <c r="E23" s="123" t="s">
        <v>4474</v>
      </c>
      <c r="F23" s="121"/>
      <c r="G23" s="124">
        <f>1-((33.09/49.95)+(34.09/50.95)+(36.4/53.26)+(40.04/56.9))/4</f>
        <v>0.32032994549159044</v>
      </c>
      <c r="H23" s="121"/>
      <c r="I23" s="123" t="s">
        <v>4474</v>
      </c>
      <c r="J23" s="121"/>
      <c r="K23" s="125">
        <f>1-((33.09/49.95)+(34.09/50.95)+(36.4/53.26)+(40.04/56.9))/4</f>
        <v>0.32032994549159044</v>
      </c>
    </row>
    <row r="24" spans="1:11">
      <c r="A24" s="121">
        <v>22</v>
      </c>
      <c r="B24" s="121"/>
      <c r="C24" s="123" t="s">
        <v>3942</v>
      </c>
      <c r="D24" s="121"/>
      <c r="E24" s="126" t="s">
        <v>4475</v>
      </c>
      <c r="F24" s="121"/>
      <c r="G24" s="125">
        <f>1-((26.24/43.08)+(29/45.84)+(29.53/46.37)+(29.8/46.64)+(30.54/47.38)+(30.84/47.68)+(31.01/47.85)+(31.26/48.1)+(31.85/48.69)+(32.17/49.01)+(32.52/49.36)+(32.71/49.55)+(32.95/49.79)+(34.59/51.43)+(35.4/52.24)+(34.59/51.43)+(41.54/58.38+(35.37/52.21)+(33.41/50.25)+(40.03/56.87)+(35.12/51.96)+(33.2/50.04)+(38.79/55.63)+(34.9/51.74)+(32.98/49.82)+(34.57/51.41)+(35.96/52.8)+(41.01/57.85)+(35.55/52.39)+(33.63/50.47)+(39.47/56.31)+(33.43/50.27)+(38.02/54.86)+(35.12/51.96)*33.2/50.04)+(36.51/53.35)+(35.4/52.24)+(34.29/51.13)+(33.33/50.17)+(32.37/49.21))/42</f>
        <v>0.38520603976669021</v>
      </c>
      <c r="H24" s="121"/>
      <c r="I24" s="126" t="s">
        <v>4494</v>
      </c>
      <c r="J24" s="121"/>
      <c r="K24" s="125">
        <f>1-((34.92/55.67)+(35.87/56.62)+(36.16/56.91)+(37.65/58.4)+(38.75/59.5)+(37.87/58.62)+(38.97/59.72)+(37.98/58.73)+(39.08/59.83)+(38.1/58.85)+(39.2/59.95)+(38.27/59.02)+(38.37/59.12)+(38.4/59.15)+(38.48/59.23)+(38.6/59.35)+(38.77/59.52)+(38.87/59.62)+(38.98/59.73)+(39.1/59.85)+(39.27/60.02)+(39.37/60.12)+(39.48/60.23)+(39.6/60.35)+(39.77/60.52)+(37.51/58.26)+(37.65/58.4)+(37.87/58.62)+(37.98/58.73)+(38.1/58.85)+(38.27/59.02)+(38.44/59.19)+(38.6/59.35)+(39.28/60.03)+(39.44/60.19)+(39.74/60.49)+(40.07/60.82)+(40.44/61.19)+(36.77/57.52)+(37.72/58.47)+(38.01/58.76)+(38.15/58.9)+(38.37/59.12)+(38.48/59.23)+(38.6/59.35)+(38.77/59.52)+(38.9/59.65))/47</f>
        <v>0.35062890944385794</v>
      </c>
    </row>
    <row r="25" spans="1:11">
      <c r="A25" s="121">
        <v>23</v>
      </c>
      <c r="B25" s="121"/>
      <c r="C25" s="123" t="s">
        <v>3866</v>
      </c>
      <c r="D25" s="121"/>
      <c r="E25" s="123" t="s">
        <v>1050</v>
      </c>
      <c r="F25" s="121"/>
      <c r="G25" s="124">
        <f>1-((24.73/32.74)+(25.58/33.59)+(25.23/33.24)+(25.73/33.74)+(26.73/34.74)+(25.23/33.24)+(25.73/33.74)+(25.98/33.99))/8</f>
        <v>0.23826287353732167</v>
      </c>
      <c r="H25" s="121"/>
      <c r="I25" s="123" t="s">
        <v>4495</v>
      </c>
      <c r="J25" s="121"/>
      <c r="K25" s="125">
        <f>1-((34.63/46.64)+(37.75/49.76)+(41.15/53.16))/3</f>
        <v>0.24159485157947513</v>
      </c>
    </row>
    <row r="26" spans="1:11">
      <c r="A26" s="121">
        <v>24</v>
      </c>
      <c r="B26" s="121"/>
      <c r="C26" s="123" t="s">
        <v>4024</v>
      </c>
      <c r="D26" s="121"/>
      <c r="E26" s="123" t="s">
        <v>4476</v>
      </c>
      <c r="F26" s="121"/>
      <c r="G26" s="124">
        <f>1-((36.75/61.66)+(40.43/65.34))/2</f>
        <v>0.39261311450442471</v>
      </c>
      <c r="H26" s="121"/>
      <c r="I26" s="123" t="s">
        <v>4496</v>
      </c>
      <c r="J26" s="121"/>
      <c r="K26" s="125">
        <f>1-((34.93/49.15)+(35.43/49.65)+(38.42/52.64)+(78.84/93.06)+(39.42/53.64)+(38.42/52.64))/6</f>
        <v>0.25565035273275127</v>
      </c>
    </row>
    <row r="27" spans="1:11">
      <c r="A27" s="121">
        <v>25</v>
      </c>
      <c r="B27" s="121"/>
      <c r="C27" s="123" t="s">
        <v>3874</v>
      </c>
      <c r="D27" s="121"/>
      <c r="E27" s="123" t="s">
        <v>4477</v>
      </c>
      <c r="F27" s="121"/>
      <c r="G27" s="124">
        <f>1-((26.144/34.77)+(28.39/37.02))/2</f>
        <v>0.24060233281079801</v>
      </c>
      <c r="H27" s="121"/>
      <c r="I27" s="123" t="s">
        <v>4477</v>
      </c>
      <c r="J27" s="121"/>
      <c r="K27" s="125">
        <f>1-((32.38/44.69)+(34.88/47.19)+(36.63/48.94))/3</f>
        <v>0.26261532067829452</v>
      </c>
    </row>
    <row r="28" spans="1:11">
      <c r="A28" s="121">
        <v>26</v>
      </c>
      <c r="B28" s="121"/>
      <c r="C28" s="123" t="s">
        <v>3632</v>
      </c>
      <c r="D28" s="121"/>
      <c r="E28" s="123" t="s">
        <v>4478</v>
      </c>
      <c r="F28" s="121"/>
      <c r="G28" s="124">
        <f>1-((29.58/45.2)+(32.54/48.16)+(35.5/51.12))/3</f>
        <v>0.32515544165575028</v>
      </c>
      <c r="H28" s="121"/>
      <c r="I28" s="123" t="s">
        <v>4497</v>
      </c>
      <c r="J28" s="121"/>
      <c r="K28" s="125">
        <f>1-((38.57/56.52)+(42.43/60.38)+(46.28/64.23))/3</f>
        <v>0.29811166284320612</v>
      </c>
    </row>
    <row r="29" spans="1:11">
      <c r="A29" s="121">
        <v>27</v>
      </c>
      <c r="B29" s="121"/>
      <c r="C29" s="123" t="s">
        <v>4025</v>
      </c>
      <c r="D29" s="121"/>
      <c r="E29" s="123" t="s">
        <v>4478</v>
      </c>
      <c r="F29" s="121"/>
      <c r="G29" s="124">
        <f>1-((24.77/41.58)+(27.25/44.06)+(29.72/46.53))/3</f>
        <v>0.38235946488072059</v>
      </c>
      <c r="H29" s="121"/>
      <c r="I29" s="123" t="s">
        <v>4497</v>
      </c>
      <c r="J29" s="121"/>
      <c r="K29" s="125">
        <f>1-((38.57/56.52)+(42.43/60.38)+(46.28/64.23))/3</f>
        <v>0.29811166284320612</v>
      </c>
    </row>
    <row r="30" spans="1:11">
      <c r="A30" s="121">
        <v>28</v>
      </c>
      <c r="B30" s="121"/>
      <c r="C30" s="123" t="s">
        <v>4026</v>
      </c>
      <c r="D30" s="121"/>
      <c r="E30" s="123" t="s">
        <v>4479</v>
      </c>
      <c r="F30" s="121"/>
      <c r="G30" s="124">
        <f>1-(27.02/41.95)</f>
        <v>0.35589988081048873</v>
      </c>
      <c r="H30" s="121"/>
      <c r="I30" s="123" t="s">
        <v>4498</v>
      </c>
      <c r="J30" s="121"/>
      <c r="K30" s="125">
        <f>1-((24.74/31.91)+(29.69/36.86))/2</f>
        <v>0.20960712890789401</v>
      </c>
    </row>
    <row r="31" spans="1:11">
      <c r="A31" s="121">
        <v>29</v>
      </c>
      <c r="B31" s="121"/>
      <c r="C31" s="123" t="s">
        <v>3640</v>
      </c>
      <c r="D31" s="121"/>
      <c r="E31" s="123" t="s">
        <v>4480</v>
      </c>
      <c r="F31" s="121"/>
      <c r="G31" s="124">
        <f>1-((33.35/48.35)+(36.46/51.46)+(39.57/54.57))/3</f>
        <v>0.2922008964881101</v>
      </c>
      <c r="H31" s="121"/>
      <c r="I31" s="123" t="s">
        <v>4499</v>
      </c>
      <c r="J31" s="121"/>
      <c r="K31" s="125">
        <f>1-((44.49/59.52)+(48.94/63.97)+(53.39/68.42))/3</f>
        <v>0.23571555209053197</v>
      </c>
    </row>
    <row r="32" spans="1:11">
      <c r="A32" s="121">
        <v>30</v>
      </c>
      <c r="B32" s="121"/>
      <c r="C32" s="123" t="s">
        <v>3644</v>
      </c>
      <c r="D32" s="121"/>
      <c r="E32" s="123" t="s">
        <v>4481</v>
      </c>
      <c r="F32" s="121"/>
      <c r="G32" s="124">
        <f>1-((35.25/53.45)+(38/56.2)+(40.25/58.45))/3</f>
        <v>0.32524193562480386</v>
      </c>
      <c r="H32" s="121"/>
      <c r="I32" s="123" t="s">
        <v>4481</v>
      </c>
      <c r="J32" s="121"/>
      <c r="K32" s="125">
        <f>1-((38.1/56.3)+(40.85/59.05)+(43.1/61.3))/3</f>
        <v>0.30946069130942988</v>
      </c>
    </row>
    <row r="33" spans="1:11">
      <c r="A33" s="121">
        <v>31</v>
      </c>
      <c r="B33" s="121"/>
      <c r="C33" s="123" t="s">
        <v>4027</v>
      </c>
      <c r="D33" s="121"/>
      <c r="E33" s="123" t="s">
        <v>4475</v>
      </c>
      <c r="F33" s="121"/>
      <c r="G33" s="124">
        <f>1-((29.8/46.64)+(31.26/48.1)+(32.52/49.36))/3</f>
        <v>0.35077811724397456</v>
      </c>
      <c r="H33" s="121"/>
      <c r="I33" s="126" t="s">
        <v>4494</v>
      </c>
      <c r="J33" s="121"/>
      <c r="K33" s="125">
        <f>1-((36.84/57.59)+(37.65/58.4)+(37.87/58.62)+(38.15/58.9)+(38.27/59.02)+(38.37/59.12)+(38.4/59.15)+(38.77/59.52)+(38.9/59.65)+(39.4/60.15))/10</f>
        <v>0.35166961857672396</v>
      </c>
    </row>
    <row r="34" spans="1:11">
      <c r="A34" s="121">
        <v>32</v>
      </c>
      <c r="B34" s="121"/>
      <c r="C34" s="123" t="s">
        <v>3651</v>
      </c>
      <c r="D34" s="121"/>
      <c r="E34" s="123" t="s">
        <v>4482</v>
      </c>
      <c r="F34" s="121"/>
      <c r="G34" s="124">
        <f>1-(26.54/36.28)</f>
        <v>0.26846747519294378</v>
      </c>
      <c r="H34" s="121"/>
      <c r="I34" s="123" t="s">
        <v>4495</v>
      </c>
      <c r="J34" s="121"/>
      <c r="K34" s="125">
        <f>1-(34.63/46.64)</f>
        <v>0.25750428816466553</v>
      </c>
    </row>
    <row r="35" spans="1:11">
      <c r="A35" s="121">
        <v>33</v>
      </c>
      <c r="B35" s="121"/>
      <c r="C35" s="123" t="s">
        <v>4028</v>
      </c>
      <c r="D35" s="121"/>
      <c r="E35" s="123" t="s">
        <v>4483</v>
      </c>
      <c r="F35" s="121"/>
      <c r="G35" s="124">
        <f>1-((23.99/32.87)+(25.24/34.12)+(26.99/35.87)+(25.49/34.37)+(26.74/35.62)+(28.49/37.37))/6</f>
        <v>0.25387674468466404</v>
      </c>
      <c r="H35" s="121"/>
      <c r="I35" s="123" t="s">
        <v>4483</v>
      </c>
      <c r="J35" s="121"/>
      <c r="K35" s="125">
        <f>1-((38.48/49.29)+(39.48/49.29)+(40.48/51.29)+(41.48/52.29)+(42.48/53.29)+(43.48/54.29))/6</f>
        <v>0.20630043857422553</v>
      </c>
    </row>
    <row r="36" spans="1:11">
      <c r="A36" s="121">
        <v>34</v>
      </c>
      <c r="B36" s="121"/>
      <c r="C36" s="123" t="s">
        <v>4029</v>
      </c>
      <c r="D36" s="121"/>
      <c r="E36" s="123" t="s">
        <v>4483</v>
      </c>
      <c r="F36" s="121"/>
      <c r="G36" s="124">
        <f>1-((17.59/24.77)+(18.84/26.02)+(20.59/27.77))/3</f>
        <v>0.27478691746389095</v>
      </c>
      <c r="H36" s="121"/>
      <c r="I36" s="123" t="s">
        <v>4483</v>
      </c>
      <c r="J36" s="121"/>
      <c r="K36" s="125">
        <f>1-((26.07/34.63)+(27.07/35.63)+(28.07/36.63)+(29.07/37.63)+(30.07/38.63)+(31.07/69.63)+(35.85/46.66)+(36.85/47.66)+(37.85/48.66)+(38.85/49.66)+(39.85/50.66)+(40.85/51.66))/12</f>
        <v>0.25374437717597853</v>
      </c>
    </row>
    <row r="37" spans="1:11">
      <c r="A37" s="121">
        <v>35</v>
      </c>
      <c r="B37" s="121"/>
      <c r="C37" s="123" t="s">
        <v>3917</v>
      </c>
      <c r="D37" s="121"/>
      <c r="E37" s="123" t="s">
        <v>4484</v>
      </c>
      <c r="F37" s="121"/>
      <c r="G37" s="124"/>
      <c r="H37" s="121"/>
      <c r="I37" s="123" t="s">
        <v>4500</v>
      </c>
      <c r="J37" s="121"/>
      <c r="K37" s="125">
        <f>1-((27.19/46.13)+(27.29/46.23)+(27.5/46.44)+(27.68/46.62)+(27.83/46.77)+(28.18/47.12))/6</f>
        <v>0.40688064325284523</v>
      </c>
    </row>
    <row r="38" spans="1:11">
      <c r="A38" s="121">
        <v>36</v>
      </c>
      <c r="B38" s="121"/>
      <c r="C38" s="123" t="s">
        <v>3889</v>
      </c>
      <c r="D38" s="121"/>
      <c r="E38" s="123" t="s">
        <v>4475</v>
      </c>
      <c r="F38" s="121"/>
      <c r="G38" s="124">
        <f>1-(29.8/46.64)</f>
        <v>0.36106346483704976</v>
      </c>
      <c r="H38" s="121"/>
      <c r="I38" s="126" t="s">
        <v>4494</v>
      </c>
      <c r="J38" s="121"/>
      <c r="K38" s="125">
        <f>1-(37.87/58.62)</f>
        <v>0.35397475264414879</v>
      </c>
    </row>
    <row r="39" spans="1:11">
      <c r="A39" s="121">
        <v>37</v>
      </c>
      <c r="B39" s="121"/>
      <c r="C39" s="131" t="s">
        <v>4030</v>
      </c>
      <c r="D39" s="121"/>
      <c r="E39" s="123" t="s">
        <v>4475</v>
      </c>
      <c r="F39" s="121"/>
      <c r="G39" s="127">
        <f>1-(31.01/47.85)</f>
        <v>0.35193312434691748</v>
      </c>
      <c r="H39" s="121"/>
      <c r="I39" s="126" t="s">
        <v>4494</v>
      </c>
      <c r="J39" s="121"/>
      <c r="K39" s="128">
        <f>1-((36.16/56.91)+(37.65/58.4)+(38.75/59.5)+(38.37/59.12))/4</f>
        <v>0.35490988985545324</v>
      </c>
    </row>
    <row r="40" spans="1:11">
      <c r="A40" s="121">
        <v>38</v>
      </c>
      <c r="B40" s="121"/>
      <c r="C40" s="131" t="s">
        <v>3673</v>
      </c>
      <c r="D40" s="121"/>
      <c r="E40" s="123" t="s">
        <v>4475</v>
      </c>
      <c r="F40" s="121"/>
      <c r="G40" s="129">
        <f>1-(((31.26/48.1)+(31.26/48.1))/2)</f>
        <v>0.35010395010395012</v>
      </c>
      <c r="H40" s="121"/>
      <c r="I40" s="126" t="s">
        <v>4494</v>
      </c>
      <c r="J40" s="121"/>
      <c r="K40" s="130">
        <f>1-((35.87/56.62)+(37.65/58.4)+(39.65/60.4))/3</f>
        <v>0.35510984725439321</v>
      </c>
    </row>
    <row r="41" spans="1:11">
      <c r="C41" s="120" t="s">
        <v>4501</v>
      </c>
      <c r="G41" s="43">
        <f>AVERAGE(G3:G40)</f>
        <v>0.29697747334596775</v>
      </c>
      <c r="H41" s="46"/>
      <c r="I41" s="46"/>
      <c r="J41" s="46"/>
      <c r="K41" s="43">
        <f>AVERAGE(K3:K40)</f>
        <v>0.31004049455093569</v>
      </c>
    </row>
  </sheetData>
  <mergeCells count="1">
    <mergeCell ref="A1:K1"/>
  </mergeCells>
  <phoneticPr fontId="2" type="noConversion"/>
  <pageMargins left="0.3" right="0.3" top="0.75" bottom="0.3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2"/>
  <sheetViews>
    <sheetView workbookViewId="0">
      <selection activeCell="M1" sqref="M1:M1048576"/>
    </sheetView>
  </sheetViews>
  <sheetFormatPr defaultRowHeight="12.75"/>
  <cols>
    <col min="1" max="1" width="28" customWidth="1"/>
    <col min="2" max="2" width="10.42578125" bestFit="1" customWidth="1"/>
    <col min="3" max="3" width="9.140625" style="9"/>
    <col min="4" max="4" width="12.28515625" customWidth="1"/>
    <col min="5" max="5" width="9.140625" style="9"/>
    <col min="6" max="6" width="16.42578125" style="16" customWidth="1"/>
    <col min="8" max="8" width="10.85546875" customWidth="1"/>
    <col min="9" max="9" width="12.5703125" customWidth="1"/>
    <col min="10" max="11" width="11.85546875" customWidth="1"/>
    <col min="12" max="12" width="11.28515625" customWidth="1"/>
  </cols>
  <sheetData>
    <row r="1" spans="1:13" ht="71.25" customHeight="1">
      <c r="A1" s="48" t="s">
        <v>3992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  <c r="M1" s="22"/>
    </row>
    <row r="2" spans="1:13">
      <c r="A2" s="18" t="s">
        <v>3980</v>
      </c>
      <c r="B2" s="19"/>
      <c r="C2" s="20"/>
      <c r="D2" s="21">
        <f>AVERAGE(D4:D237)</f>
        <v>8.3159854170989533E-2</v>
      </c>
      <c r="E2" s="16"/>
      <c r="F2" s="21">
        <f>AVERAGE(F4:F237)</f>
        <v>6.5300503153916944E-2</v>
      </c>
      <c r="H2" s="21">
        <f>AVERAGE(H3:H237)</f>
        <v>5.570061837709863E-2</v>
      </c>
      <c r="I2" s="21">
        <f>AVERAGE(I4:I237)</f>
        <v>3.1818181818181949E-3</v>
      </c>
      <c r="J2" s="9"/>
      <c r="K2" s="9"/>
      <c r="L2" s="21">
        <f>AVERAGE(L4:L237)</f>
        <v>0.65301120749015273</v>
      </c>
    </row>
    <row r="3" spans="1:13" ht="63.75">
      <c r="A3" s="2" t="s">
        <v>3500</v>
      </c>
      <c r="B3" s="3" t="s">
        <v>3501</v>
      </c>
      <c r="G3" s="23" t="s">
        <v>3983</v>
      </c>
      <c r="H3" s="43">
        <f>AVERAGE(F4:F6)</f>
        <v>0.47873563218390824</v>
      </c>
      <c r="I3" s="8"/>
      <c r="J3" s="44"/>
      <c r="K3" s="44"/>
      <c r="L3" s="43"/>
    </row>
    <row r="4" spans="1:13">
      <c r="A4" s="1" t="s">
        <v>3502</v>
      </c>
      <c r="B4" s="7">
        <v>46.6</v>
      </c>
      <c r="C4" s="9">
        <v>48.35</v>
      </c>
      <c r="D4" s="16">
        <f>(C4-B4)/B4</f>
        <v>3.7553648068669523E-2</v>
      </c>
      <c r="E4" s="9">
        <v>34.799999999999997</v>
      </c>
      <c r="F4" s="16">
        <f>(C4-E4)/E4</f>
        <v>0.3893678160919542</v>
      </c>
      <c r="G4" s="40"/>
      <c r="H4" s="16"/>
      <c r="I4" s="16"/>
      <c r="J4" s="9"/>
      <c r="K4" s="9"/>
      <c r="L4" s="16"/>
    </row>
    <row r="5" spans="1:13">
      <c r="A5" s="1" t="s">
        <v>3503</v>
      </c>
      <c r="B5" s="7">
        <v>49.62</v>
      </c>
      <c r="C5" s="9">
        <v>51.46</v>
      </c>
      <c r="D5" s="16">
        <f>(C5-B5)/B5</f>
        <v>3.70818218460299E-2</v>
      </c>
      <c r="E5" s="9">
        <v>34.799999999999997</v>
      </c>
      <c r="F5" s="16">
        <f>(C5-E5)/E5</f>
        <v>0.47873563218390819</v>
      </c>
      <c r="G5" s="40"/>
      <c r="I5" s="16"/>
      <c r="J5" s="9"/>
      <c r="K5" s="9"/>
      <c r="L5" s="16"/>
    </row>
    <row r="6" spans="1:13">
      <c r="A6" s="1" t="s">
        <v>3504</v>
      </c>
      <c r="B6" s="7">
        <v>52.64</v>
      </c>
      <c r="C6" s="9">
        <v>54.57</v>
      </c>
      <c r="D6" s="16">
        <f>(C6-B6)/B6</f>
        <v>3.666413373860182E-2</v>
      </c>
      <c r="E6" s="9">
        <v>34.799999999999997</v>
      </c>
      <c r="F6" s="16">
        <f>(C6-E6)/E6</f>
        <v>0.56810344827586223</v>
      </c>
      <c r="G6" s="40"/>
      <c r="I6" s="16"/>
      <c r="J6" s="9"/>
      <c r="K6" s="9"/>
      <c r="L6" s="16"/>
    </row>
    <row r="7" spans="1:13">
      <c r="A7" s="1"/>
      <c r="B7" s="7"/>
      <c r="D7" s="16"/>
      <c r="G7" s="40"/>
      <c r="I7" s="16"/>
      <c r="J7" s="9"/>
      <c r="K7" s="9"/>
      <c r="L7" s="16"/>
    </row>
    <row r="8" spans="1:13">
      <c r="A8" s="2" t="s">
        <v>3505</v>
      </c>
      <c r="B8" s="7"/>
      <c r="D8" s="16"/>
      <c r="G8" s="23" t="s">
        <v>3984</v>
      </c>
      <c r="H8" s="8"/>
      <c r="I8" s="43">
        <f>AVERAGE(F9)</f>
        <v>0</v>
      </c>
      <c r="J8" s="44"/>
      <c r="K8" s="44"/>
      <c r="L8" s="43"/>
    </row>
    <row r="9" spans="1:13">
      <c r="A9" s="1" t="s">
        <v>3506</v>
      </c>
      <c r="B9" s="7">
        <v>23.63</v>
      </c>
      <c r="C9" s="9">
        <v>26.47</v>
      </c>
      <c r="D9" s="16">
        <f>(C9-B9)/B9</f>
        <v>0.12018620397799408</v>
      </c>
      <c r="E9" s="9">
        <v>26.47</v>
      </c>
      <c r="F9" s="16">
        <f>(C9-E9)/E9</f>
        <v>0</v>
      </c>
      <c r="G9" s="40"/>
      <c r="I9" s="16"/>
      <c r="J9" s="9"/>
      <c r="K9" s="9"/>
      <c r="L9" s="16"/>
    </row>
    <row r="10" spans="1:13">
      <c r="A10" s="1"/>
      <c r="B10" s="7"/>
      <c r="D10" s="16"/>
      <c r="G10" s="40"/>
      <c r="J10" s="9"/>
      <c r="K10" s="9"/>
      <c r="L10" s="16"/>
    </row>
    <row r="11" spans="1:13">
      <c r="A11" s="2" t="s">
        <v>3507</v>
      </c>
      <c r="B11" s="7"/>
      <c r="C11" s="9" t="s">
        <v>3981</v>
      </c>
      <c r="D11" s="16"/>
      <c r="G11" s="23" t="s">
        <v>3983</v>
      </c>
      <c r="H11" s="43">
        <f>AVERAGE(F12)</f>
        <v>1.8693032596941044E-2</v>
      </c>
      <c r="I11" s="8"/>
      <c r="J11" s="44"/>
      <c r="K11" s="44"/>
      <c r="L11" s="43"/>
    </row>
    <row r="12" spans="1:13">
      <c r="A12" s="1" t="s">
        <v>3508</v>
      </c>
      <c r="B12" s="7">
        <v>59.5</v>
      </c>
      <c r="C12" s="9">
        <v>65.94</v>
      </c>
      <c r="D12" s="16">
        <f>(C12-B12)/B12</f>
        <v>0.10823529411764703</v>
      </c>
      <c r="E12" s="9">
        <v>64.73</v>
      </c>
      <c r="F12" s="16">
        <f>(C12-E12)/E12</f>
        <v>1.8693032596941044E-2</v>
      </c>
      <c r="G12" s="40"/>
      <c r="H12" s="16"/>
      <c r="J12" s="9"/>
      <c r="K12" s="9"/>
      <c r="L12" s="16"/>
    </row>
    <row r="13" spans="1:13">
      <c r="A13" s="1"/>
      <c r="B13" s="1"/>
      <c r="D13" s="16"/>
      <c r="G13" s="40"/>
      <c r="J13" s="9"/>
      <c r="K13" s="9"/>
      <c r="L13" s="16"/>
    </row>
    <row r="14" spans="1:13" ht="25.5">
      <c r="A14" s="2" t="s">
        <v>3509</v>
      </c>
      <c r="B14" s="3" t="s">
        <v>3510</v>
      </c>
      <c r="C14" t="s">
        <v>3480</v>
      </c>
      <c r="D14" s="16"/>
      <c r="G14" s="23" t="s">
        <v>3983</v>
      </c>
      <c r="H14" s="43">
        <f>AVERAGE(F15:F17)</f>
        <v>8.2090341690468568E-2</v>
      </c>
      <c r="I14" s="8"/>
      <c r="J14" s="44"/>
      <c r="K14" s="44"/>
      <c r="L14" s="43"/>
    </row>
    <row r="15" spans="1:13">
      <c r="A15" s="1" t="s">
        <v>3511</v>
      </c>
      <c r="B15" s="7">
        <v>32.68</v>
      </c>
      <c r="C15" s="9">
        <v>32.68</v>
      </c>
      <c r="D15" s="16">
        <f>(C15-B15)/B15</f>
        <v>0</v>
      </c>
      <c r="E15" s="9">
        <v>31.51</v>
      </c>
      <c r="F15" s="16">
        <f>(C15-E15)/E15</f>
        <v>3.7131069501745419E-2</v>
      </c>
      <c r="G15" s="40"/>
      <c r="H15" s="16"/>
      <c r="J15" s="9"/>
      <c r="K15" s="9"/>
      <c r="L15" s="16"/>
    </row>
    <row r="16" spans="1:13">
      <c r="A16" s="1" t="s">
        <v>3512</v>
      </c>
      <c r="B16" s="7">
        <v>33.93</v>
      </c>
      <c r="C16" s="9">
        <v>33.93</v>
      </c>
      <c r="D16" s="16">
        <f>(C16-B16)/B16</f>
        <v>0</v>
      </c>
      <c r="E16" s="9">
        <v>31.51</v>
      </c>
      <c r="F16" s="16">
        <f>(C16-E16)/E16</f>
        <v>7.6801015550618787E-2</v>
      </c>
      <c r="G16" s="40"/>
      <c r="J16" s="9"/>
      <c r="K16" s="9"/>
      <c r="L16" s="16"/>
    </row>
    <row r="17" spans="1:12">
      <c r="A17" s="1" t="s">
        <v>3513</v>
      </c>
      <c r="B17" s="7">
        <v>35.68</v>
      </c>
      <c r="C17" s="9">
        <v>35.68</v>
      </c>
      <c r="D17" s="16">
        <f>(C17-B17)/B17</f>
        <v>0</v>
      </c>
      <c r="E17" s="9">
        <v>31.51</v>
      </c>
      <c r="F17" s="16">
        <f>(C17-E17)/E17</f>
        <v>0.13233894001904151</v>
      </c>
      <c r="G17" s="40"/>
      <c r="J17" s="9"/>
      <c r="K17" s="9"/>
      <c r="L17" s="16"/>
    </row>
    <row r="18" spans="1:12">
      <c r="A18" s="1"/>
      <c r="B18" s="1"/>
      <c r="D18" s="16"/>
      <c r="G18" s="40"/>
      <c r="H18" s="16"/>
      <c r="J18" s="9"/>
      <c r="K18" s="9"/>
      <c r="L18" s="16"/>
    </row>
    <row r="19" spans="1:12" ht="25.5">
      <c r="A19" s="2" t="s">
        <v>3514</v>
      </c>
      <c r="B19" s="3" t="s">
        <v>3510</v>
      </c>
      <c r="D19" s="16"/>
      <c r="G19" s="23" t="s">
        <v>3983</v>
      </c>
      <c r="H19" s="43">
        <f>AVERAGE(F20:F21)</f>
        <v>5.2252488213724392E-2</v>
      </c>
      <c r="I19" s="8"/>
      <c r="J19" s="44"/>
      <c r="K19" s="44"/>
      <c r="L19" s="43"/>
    </row>
    <row r="20" spans="1:12">
      <c r="A20" s="1" t="s">
        <v>3515</v>
      </c>
      <c r="B20" s="7">
        <v>38.299999999999997</v>
      </c>
      <c r="C20" s="9">
        <v>38.799999999999997</v>
      </c>
      <c r="D20" s="16">
        <f>(C20-B20)/B20</f>
        <v>1.3054830287206267E-2</v>
      </c>
      <c r="E20" s="9">
        <v>38.18</v>
      </c>
      <c r="F20" s="16">
        <f>(C20-E20)/E20</f>
        <v>1.6238868517548386E-2</v>
      </c>
      <c r="G20" s="40"/>
      <c r="J20" s="9">
        <v>23.57</v>
      </c>
      <c r="K20" s="9">
        <f>J20*1.4</f>
        <v>32.997999999999998</v>
      </c>
      <c r="L20" s="16">
        <f>(C20-K20)/K20</f>
        <v>0.17582883811140068</v>
      </c>
    </row>
    <row r="21" spans="1:12">
      <c r="A21" s="1" t="s">
        <v>3516</v>
      </c>
      <c r="B21" s="7">
        <v>41.05</v>
      </c>
      <c r="C21" s="9">
        <v>41.55</v>
      </c>
      <c r="D21" s="16">
        <f>(C21-B21)/B21</f>
        <v>1.2180267965895251E-2</v>
      </c>
      <c r="E21" s="9">
        <v>38.18</v>
      </c>
      <c r="F21" s="16">
        <f>(C21-E21)/E21</f>
        <v>8.8266107909900401E-2</v>
      </c>
      <c r="G21" s="40"/>
      <c r="J21" s="9">
        <v>23.57</v>
      </c>
      <c r="K21" s="9">
        <f t="shared" ref="K21:K84" si="0">J21*1.4</f>
        <v>32.997999999999998</v>
      </c>
      <c r="L21" s="16">
        <f>(C21-K21)/K21</f>
        <v>0.25916722225589428</v>
      </c>
    </row>
    <row r="22" spans="1:12">
      <c r="A22" s="1"/>
      <c r="B22" s="1"/>
      <c r="D22" s="16"/>
      <c r="G22" s="40"/>
      <c r="J22" s="9"/>
      <c r="K22" s="9">
        <f t="shared" si="0"/>
        <v>0</v>
      </c>
      <c r="L22" s="16"/>
    </row>
    <row r="23" spans="1:12">
      <c r="A23" s="2" t="s">
        <v>3517</v>
      </c>
      <c r="B23" s="1"/>
      <c r="D23" s="16"/>
      <c r="G23" s="40" t="s">
        <v>3983</v>
      </c>
      <c r="H23" s="16">
        <f>AVERAGE(F24:F25)</f>
        <v>3.1769163509180888E-2</v>
      </c>
      <c r="J23" s="9"/>
      <c r="K23" s="9">
        <f t="shared" si="0"/>
        <v>0</v>
      </c>
      <c r="L23" s="16"/>
    </row>
    <row r="24" spans="1:12">
      <c r="A24" s="1" t="s">
        <v>3521</v>
      </c>
      <c r="B24" s="7">
        <v>34.4</v>
      </c>
      <c r="C24" s="9">
        <v>34.4</v>
      </c>
      <c r="D24" s="16">
        <f>(C24-B24)/B24</f>
        <v>0</v>
      </c>
      <c r="E24" s="9">
        <v>34.31</v>
      </c>
      <c r="F24" s="16">
        <f>(C24-E24)/E24</f>
        <v>2.6231419411249287E-3</v>
      </c>
      <c r="G24" s="40"/>
      <c r="J24" s="9"/>
      <c r="K24" s="9">
        <f t="shared" si="0"/>
        <v>0</v>
      </c>
      <c r="L24" s="16"/>
    </row>
    <row r="25" spans="1:12">
      <c r="A25" s="1" t="s">
        <v>3522</v>
      </c>
      <c r="B25" s="7">
        <v>36.4</v>
      </c>
      <c r="C25" s="9">
        <v>36.4</v>
      </c>
      <c r="D25" s="16">
        <f>(C25-B25)/B25</f>
        <v>0</v>
      </c>
      <c r="E25" s="9">
        <v>34.31</v>
      </c>
      <c r="F25" s="16">
        <f>(C25-E25)/E25</f>
        <v>6.0915185077236846E-2</v>
      </c>
      <c r="G25" s="40"/>
      <c r="J25" s="9"/>
      <c r="K25" s="9">
        <f t="shared" si="0"/>
        <v>0</v>
      </c>
      <c r="L25" s="16"/>
    </row>
    <row r="26" spans="1:12">
      <c r="A26" s="143"/>
      <c r="B26" s="143"/>
      <c r="D26" s="16"/>
      <c r="G26" s="40"/>
      <c r="J26" s="9"/>
      <c r="K26" s="9">
        <f t="shared" si="0"/>
        <v>0</v>
      </c>
      <c r="L26" s="16"/>
    </row>
    <row r="27" spans="1:12" ht="38.25">
      <c r="A27" s="2" t="s">
        <v>3523</v>
      </c>
      <c r="B27" s="1"/>
      <c r="D27" s="16"/>
      <c r="G27" s="23" t="s">
        <v>3983</v>
      </c>
      <c r="H27" s="43">
        <f>AVERAGE(F28:F30)</f>
        <v>0.12053778395920252</v>
      </c>
      <c r="I27" s="8"/>
      <c r="J27" s="44"/>
      <c r="K27" s="9">
        <f t="shared" si="0"/>
        <v>0</v>
      </c>
      <c r="L27" s="43"/>
    </row>
    <row r="28" spans="1:12" ht="25.5">
      <c r="A28" s="1" t="s">
        <v>3524</v>
      </c>
      <c r="B28" s="7">
        <v>25.73</v>
      </c>
      <c r="C28" s="9">
        <v>29.36</v>
      </c>
      <c r="D28" s="16">
        <f>(C28-B28)/B28</f>
        <v>0.14108045083560042</v>
      </c>
      <c r="E28" s="9">
        <v>28.76</v>
      </c>
      <c r="F28" s="16">
        <f t="shared" ref="F28:F37" si="1">(C28-E28)/E28</f>
        <v>2.0862308762169605E-2</v>
      </c>
      <c r="G28" s="40"/>
      <c r="J28" s="9">
        <v>21.35</v>
      </c>
      <c r="K28" s="9">
        <f t="shared" si="0"/>
        <v>29.89</v>
      </c>
      <c r="L28" s="16">
        <f>(C28-K28)/K28</f>
        <v>-1.7731682837069291E-2</v>
      </c>
    </row>
    <row r="29" spans="1:12">
      <c r="A29" s="1" t="s">
        <v>3525</v>
      </c>
      <c r="B29" s="7">
        <v>25.73</v>
      </c>
      <c r="C29" s="9">
        <v>32.46</v>
      </c>
      <c r="D29" s="16">
        <f>(C29-B29)/B29</f>
        <v>0.26156237854644387</v>
      </c>
      <c r="E29" s="9">
        <v>28.76</v>
      </c>
      <c r="F29" s="16">
        <f t="shared" si="1"/>
        <v>0.12865090403337967</v>
      </c>
      <c r="G29" s="40"/>
      <c r="J29" s="9">
        <v>21.35</v>
      </c>
      <c r="K29" s="9">
        <f t="shared" si="0"/>
        <v>29.89</v>
      </c>
      <c r="L29" s="16">
        <f>(C29-K29)/K29</f>
        <v>8.5981933757109413E-2</v>
      </c>
    </row>
    <row r="30" spans="1:12" ht="25.5">
      <c r="A30" s="1" t="s">
        <v>3526</v>
      </c>
      <c r="B30" s="7">
        <v>25.73</v>
      </c>
      <c r="C30" s="9">
        <v>34.86</v>
      </c>
      <c r="D30" s="16">
        <f>(C30-B30)/B30</f>
        <v>0.35483870967741932</v>
      </c>
      <c r="E30" s="9">
        <v>28.76</v>
      </c>
      <c r="F30" s="16">
        <f t="shared" si="1"/>
        <v>0.21210013908205833</v>
      </c>
      <c r="G30" s="40"/>
      <c r="J30" s="9">
        <v>21.35</v>
      </c>
      <c r="K30" s="9">
        <f t="shared" si="0"/>
        <v>29.89</v>
      </c>
      <c r="L30" s="16">
        <f>(C30-K30)/K30</f>
        <v>0.16627634660421542</v>
      </c>
    </row>
    <row r="31" spans="1:12">
      <c r="A31" s="1"/>
      <c r="B31" s="1"/>
      <c r="D31" s="16"/>
      <c r="G31" s="40"/>
      <c r="J31" s="9"/>
      <c r="K31" s="9">
        <f t="shared" si="0"/>
        <v>0</v>
      </c>
      <c r="L31" s="16"/>
    </row>
    <row r="32" spans="1:12">
      <c r="A32" s="2" t="s">
        <v>3527</v>
      </c>
      <c r="B32" s="1"/>
      <c r="C32" t="s">
        <v>3488</v>
      </c>
      <c r="D32" s="16"/>
      <c r="G32" s="23" t="s">
        <v>3983</v>
      </c>
      <c r="H32" s="43">
        <f>AVERAGE(F33:F37)</f>
        <v>-2.2260273972602725E-2</v>
      </c>
      <c r="I32" s="8"/>
      <c r="J32" s="44"/>
      <c r="K32" s="9">
        <f t="shared" si="0"/>
        <v>0</v>
      </c>
      <c r="L32" s="43"/>
    </row>
    <row r="33" spans="1:12">
      <c r="A33" s="1" t="s">
        <v>3528</v>
      </c>
      <c r="B33" s="7">
        <v>39.19</v>
      </c>
      <c r="C33" s="9">
        <v>40.5</v>
      </c>
      <c r="D33" s="16">
        <f>(C33-B33)/B33</f>
        <v>3.3426894615973521E-2</v>
      </c>
      <c r="E33" s="9">
        <v>58.4</v>
      </c>
      <c r="F33" s="16">
        <f t="shared" si="1"/>
        <v>-0.3065068493150685</v>
      </c>
      <c r="G33" s="40"/>
      <c r="J33" s="9"/>
      <c r="K33" s="9">
        <f t="shared" si="0"/>
        <v>0</v>
      </c>
      <c r="L33" s="16"/>
    </row>
    <row r="34" spans="1:12">
      <c r="A34" s="1" t="s">
        <v>3529</v>
      </c>
      <c r="B34" s="7">
        <v>57.91</v>
      </c>
      <c r="C34" s="9">
        <v>59.9</v>
      </c>
      <c r="D34" s="16">
        <f>(C34-B34)/B34</f>
        <v>3.4363667760317768E-2</v>
      </c>
      <c r="E34" s="9">
        <v>58.4</v>
      </c>
      <c r="F34" s="16">
        <f t="shared" si="1"/>
        <v>2.5684931506849317E-2</v>
      </c>
      <c r="G34" s="40"/>
      <c r="J34" s="9"/>
      <c r="K34" s="9">
        <f t="shared" si="0"/>
        <v>0</v>
      </c>
      <c r="L34" s="16"/>
    </row>
    <row r="35" spans="1:12">
      <c r="A35" s="1" t="s">
        <v>3530</v>
      </c>
      <c r="B35" s="7">
        <v>63.02</v>
      </c>
      <c r="C35" s="9">
        <v>65.16</v>
      </c>
      <c r="D35" s="16">
        <f>(C35-B35)/B35</f>
        <v>3.3957473817835503E-2</v>
      </c>
      <c r="E35" s="9">
        <v>58.4</v>
      </c>
      <c r="F35" s="16">
        <f t="shared" si="1"/>
        <v>0.11575342465753422</v>
      </c>
      <c r="G35" s="40"/>
      <c r="J35" s="9"/>
      <c r="K35" s="9">
        <f t="shared" si="0"/>
        <v>0</v>
      </c>
      <c r="L35" s="16"/>
    </row>
    <row r="36" spans="1:12">
      <c r="A36" s="1" t="s">
        <v>3531</v>
      </c>
      <c r="B36" s="7">
        <v>68.12</v>
      </c>
      <c r="C36" s="9">
        <v>70.45</v>
      </c>
      <c r="D36" s="16">
        <f>(C36-B36)/B36</f>
        <v>3.4204345273047533E-2</v>
      </c>
      <c r="E36" s="9">
        <v>58.4</v>
      </c>
      <c r="F36" s="16">
        <f t="shared" si="1"/>
        <v>0.20633561643835624</v>
      </c>
      <c r="G36" s="40"/>
      <c r="J36" s="9"/>
      <c r="K36" s="9">
        <f t="shared" si="0"/>
        <v>0</v>
      </c>
      <c r="L36" s="16"/>
    </row>
    <row r="37" spans="1:12">
      <c r="A37" s="1" t="s">
        <v>3532</v>
      </c>
      <c r="B37" s="7">
        <v>47.86</v>
      </c>
      <c r="C37" s="9">
        <v>49.49</v>
      </c>
      <c r="D37" s="16">
        <f>(C37-B37)/B37</f>
        <v>3.4057668198913552E-2</v>
      </c>
      <c r="E37" s="9">
        <v>58.4</v>
      </c>
      <c r="F37" s="16">
        <f t="shared" si="1"/>
        <v>-0.15256849315068488</v>
      </c>
      <c r="G37" s="40"/>
      <c r="J37" s="9"/>
      <c r="K37" s="9">
        <f t="shared" si="0"/>
        <v>0</v>
      </c>
      <c r="L37" s="16"/>
    </row>
    <row r="38" spans="1:12">
      <c r="A38" s="1"/>
      <c r="B38" s="1"/>
      <c r="D38" s="16"/>
      <c r="G38" s="40"/>
      <c r="J38" s="9"/>
      <c r="K38" s="9">
        <f t="shared" si="0"/>
        <v>0</v>
      </c>
      <c r="L38" s="16"/>
    </row>
    <row r="39" spans="1:12">
      <c r="A39" s="2" t="s">
        <v>3533</v>
      </c>
      <c r="B39" s="5" t="s">
        <v>3534</v>
      </c>
      <c r="D39" s="16"/>
      <c r="G39" s="23" t="s">
        <v>3983</v>
      </c>
      <c r="H39" s="43">
        <f>AVERAGE(F40)</f>
        <v>5.7445868316395301E-3</v>
      </c>
      <c r="I39" s="8"/>
      <c r="J39" s="44"/>
      <c r="K39" s="9">
        <f t="shared" si="0"/>
        <v>0</v>
      </c>
      <c r="L39" s="43"/>
    </row>
    <row r="40" spans="1:12">
      <c r="A40" s="1" t="s">
        <v>3535</v>
      </c>
      <c r="B40" s="7">
        <v>44.31</v>
      </c>
      <c r="C40" s="9">
        <v>45.52</v>
      </c>
      <c r="D40" s="16">
        <f>(C40-B40)/B40</f>
        <v>2.7307605506657655E-2</v>
      </c>
      <c r="E40" s="9">
        <v>45.26</v>
      </c>
      <c r="F40" s="16">
        <f>(C40-E40)/E40</f>
        <v>5.7445868316395301E-3</v>
      </c>
      <c r="G40" s="40"/>
      <c r="J40" s="9"/>
      <c r="K40" s="9">
        <f t="shared" si="0"/>
        <v>0</v>
      </c>
      <c r="L40" s="16"/>
    </row>
    <row r="41" spans="1:12">
      <c r="A41" s="1"/>
      <c r="B41" s="1"/>
      <c r="D41" s="16"/>
      <c r="G41" s="40"/>
      <c r="J41" s="9"/>
      <c r="K41" s="9">
        <f t="shared" si="0"/>
        <v>0</v>
      </c>
      <c r="L41" s="16"/>
    </row>
    <row r="42" spans="1:12">
      <c r="A42" s="2" t="s">
        <v>3536</v>
      </c>
      <c r="B42" s="5" t="s">
        <v>3534</v>
      </c>
      <c r="D42" s="16"/>
      <c r="G42" s="23" t="s">
        <v>3983</v>
      </c>
      <c r="H42" s="43">
        <f>AVERAGE(F43:F46)</f>
        <v>0.11958974358974359</v>
      </c>
      <c r="I42" s="8"/>
      <c r="J42" s="44"/>
      <c r="K42" s="9">
        <f t="shared" si="0"/>
        <v>0</v>
      </c>
      <c r="L42" s="43"/>
    </row>
    <row r="43" spans="1:12">
      <c r="A43" s="1" t="s">
        <v>3537</v>
      </c>
      <c r="B43" s="7">
        <v>46.39</v>
      </c>
      <c r="C43" s="9">
        <v>50.78</v>
      </c>
      <c r="D43" s="16">
        <f>(C43-B43)/B43</f>
        <v>9.4632463893080415E-2</v>
      </c>
      <c r="E43" s="9">
        <v>48.75</v>
      </c>
      <c r="F43" s="16">
        <f>(C43-E43)/E43</f>
        <v>4.1641025641025661E-2</v>
      </c>
      <c r="G43" s="40"/>
      <c r="J43" s="9">
        <v>29.99</v>
      </c>
      <c r="K43" s="9">
        <f t="shared" si="0"/>
        <v>41.985999999999997</v>
      </c>
      <c r="L43" s="16">
        <f>(C43-K43)/K43</f>
        <v>0.20945076930405385</v>
      </c>
    </row>
    <row r="44" spans="1:12">
      <c r="A44" s="1" t="s">
        <v>3538</v>
      </c>
      <c r="B44" s="7">
        <v>46.39</v>
      </c>
      <c r="C44" s="9">
        <v>54.58</v>
      </c>
      <c r="D44" s="16">
        <f>(C44-B44)/B44</f>
        <v>0.17654666954084927</v>
      </c>
      <c r="E44" s="9">
        <v>48.75</v>
      </c>
      <c r="F44" s="16">
        <f>(C44-E44)/E44</f>
        <v>0.11958974358974356</v>
      </c>
      <c r="G44" s="40"/>
      <c r="J44" s="9">
        <v>29.99</v>
      </c>
      <c r="K44" s="9">
        <f t="shared" si="0"/>
        <v>41.985999999999997</v>
      </c>
      <c r="L44" s="16">
        <f t="shared" ref="L44:L46" si="2">(C44-K44)/K44</f>
        <v>0.29995712856666512</v>
      </c>
    </row>
    <row r="45" spans="1:12">
      <c r="A45" s="1" t="s">
        <v>3539</v>
      </c>
      <c r="B45" s="7">
        <v>46.39</v>
      </c>
      <c r="C45" s="9">
        <v>54.58</v>
      </c>
      <c r="D45" s="16">
        <f>(C45-B45)/B45</f>
        <v>0.17654666954084927</v>
      </c>
      <c r="E45" s="9">
        <v>48.75</v>
      </c>
      <c r="F45" s="16">
        <f>(C45-E45)/E45</f>
        <v>0.11958974358974356</v>
      </c>
      <c r="G45" s="40"/>
      <c r="J45" s="9">
        <v>29.99</v>
      </c>
      <c r="K45" s="9">
        <f t="shared" si="0"/>
        <v>41.985999999999997</v>
      </c>
      <c r="L45" s="16">
        <f t="shared" si="2"/>
        <v>0.29995712856666512</v>
      </c>
    </row>
    <row r="46" spans="1:12">
      <c r="A46" s="1" t="s">
        <v>3540</v>
      </c>
      <c r="B46" s="7">
        <v>46.39</v>
      </c>
      <c r="C46" s="9">
        <v>58.38</v>
      </c>
      <c r="D46" s="16">
        <f>(C46-B46)/B46</f>
        <v>0.25846087518861827</v>
      </c>
      <c r="E46" s="9">
        <v>48.75</v>
      </c>
      <c r="F46" s="16">
        <f>(C46-E46)/E46</f>
        <v>0.19753846153846158</v>
      </c>
      <c r="G46" s="40"/>
      <c r="J46" s="9">
        <v>29.99</v>
      </c>
      <c r="K46" s="9">
        <f t="shared" si="0"/>
        <v>41.985999999999997</v>
      </c>
      <c r="L46" s="16">
        <f t="shared" si="2"/>
        <v>0.39046348782927659</v>
      </c>
    </row>
    <row r="47" spans="1:12">
      <c r="A47" s="1"/>
      <c r="B47" s="1"/>
      <c r="D47" s="16"/>
      <c r="G47" s="40"/>
      <c r="J47" s="9"/>
      <c r="K47" s="9">
        <f t="shared" si="0"/>
        <v>0</v>
      </c>
      <c r="L47" s="16"/>
    </row>
    <row r="48" spans="1:12">
      <c r="A48" s="2" t="s">
        <v>3541</v>
      </c>
      <c r="B48" s="5" t="s">
        <v>3534</v>
      </c>
      <c r="D48" s="16"/>
      <c r="G48" s="23" t="s">
        <v>3983</v>
      </c>
      <c r="H48" s="43">
        <f>AVERAGE(F49:F50)</f>
        <v>7.0849143006672666E-2</v>
      </c>
      <c r="I48" s="8"/>
      <c r="J48" s="44"/>
      <c r="K48" s="9">
        <f t="shared" si="0"/>
        <v>0</v>
      </c>
      <c r="L48" s="43"/>
    </row>
    <row r="49" spans="1:12" ht="25.5">
      <c r="A49" s="1" t="s">
        <v>3542</v>
      </c>
      <c r="B49" s="7">
        <v>46.01</v>
      </c>
      <c r="C49" s="9">
        <v>78.209999999999994</v>
      </c>
      <c r="D49" s="16">
        <f>(C49-B49)/B49</f>
        <v>0.69984785916105186</v>
      </c>
      <c r="E49" s="9">
        <v>76.430000000000007</v>
      </c>
      <c r="F49" s="16">
        <f>(C49-E49)/E49</f>
        <v>2.3289284312442586E-2</v>
      </c>
      <c r="G49" s="40"/>
      <c r="J49" s="9"/>
      <c r="K49" s="9">
        <f t="shared" si="0"/>
        <v>0</v>
      </c>
      <c r="L49" s="16"/>
    </row>
    <row r="50" spans="1:12" ht="25.5">
      <c r="A50" s="1" t="s">
        <v>3543</v>
      </c>
      <c r="B50" s="7">
        <v>46.01</v>
      </c>
      <c r="C50" s="9">
        <v>85.48</v>
      </c>
      <c r="D50" s="16">
        <f>(C50-B50)/B50</f>
        <v>0.85785698761138895</v>
      </c>
      <c r="E50" s="9">
        <v>76.430000000000007</v>
      </c>
      <c r="F50" s="16">
        <f>(C50-E50)/E50</f>
        <v>0.11840900170090274</v>
      </c>
      <c r="G50" s="40"/>
      <c r="J50" s="9"/>
      <c r="K50" s="9">
        <f t="shared" si="0"/>
        <v>0</v>
      </c>
      <c r="L50" s="16"/>
    </row>
    <row r="51" spans="1:12">
      <c r="A51" s="1"/>
      <c r="B51" s="1"/>
      <c r="D51" s="16"/>
      <c r="G51" s="40"/>
      <c r="J51" s="9"/>
      <c r="K51" s="9">
        <f t="shared" si="0"/>
        <v>0</v>
      </c>
      <c r="L51" s="16"/>
    </row>
    <row r="52" spans="1:12">
      <c r="A52" s="2" t="s">
        <v>3544</v>
      </c>
      <c r="B52" s="5" t="s">
        <v>3534</v>
      </c>
      <c r="D52" s="16"/>
      <c r="G52" s="23" t="s">
        <v>3984</v>
      </c>
      <c r="H52" s="8"/>
      <c r="I52" s="43">
        <f>AVERAGE(F53)</f>
        <v>0</v>
      </c>
      <c r="J52" s="44"/>
      <c r="K52" s="9">
        <f t="shared" si="0"/>
        <v>0</v>
      </c>
      <c r="L52" s="43"/>
    </row>
    <row r="53" spans="1:12">
      <c r="A53" s="1" t="s">
        <v>3545</v>
      </c>
      <c r="B53" s="7">
        <v>37.56</v>
      </c>
      <c r="C53" s="9">
        <v>37.69</v>
      </c>
      <c r="D53" s="16">
        <f>(C53-B53)/B53</f>
        <v>3.4611288604897614E-3</v>
      </c>
      <c r="E53" s="9">
        <v>37.69</v>
      </c>
      <c r="F53" s="16">
        <f>(C53-E53)/E53</f>
        <v>0</v>
      </c>
      <c r="G53" s="40"/>
      <c r="J53" s="9"/>
      <c r="K53" s="9">
        <f t="shared" si="0"/>
        <v>0</v>
      </c>
      <c r="L53" s="16"/>
    </row>
    <row r="54" spans="1:12">
      <c r="A54" s="1"/>
      <c r="B54" s="7"/>
      <c r="D54" s="16"/>
      <c r="G54" s="40"/>
      <c r="J54" s="9"/>
      <c r="K54" s="9">
        <f t="shared" si="0"/>
        <v>0</v>
      </c>
      <c r="L54" s="16"/>
    </row>
    <row r="55" spans="1:12" ht="51">
      <c r="A55" s="2" t="s">
        <v>3495</v>
      </c>
      <c r="B55" s="3" t="s">
        <v>3547</v>
      </c>
      <c r="D55" s="16"/>
      <c r="G55" s="40"/>
      <c r="J55" s="9"/>
      <c r="K55" s="9">
        <f t="shared" si="0"/>
        <v>0</v>
      </c>
      <c r="L55" s="16"/>
    </row>
    <row r="56" spans="1:12">
      <c r="A56" s="1" t="s">
        <v>3548</v>
      </c>
      <c r="B56" s="7">
        <v>27.95</v>
      </c>
      <c r="C56" s="9">
        <v>27.95</v>
      </c>
      <c r="D56" s="16">
        <f>(C56-B56)/B56</f>
        <v>0</v>
      </c>
      <c r="G56" s="40"/>
      <c r="J56" s="9"/>
      <c r="K56" s="9">
        <f t="shared" si="0"/>
        <v>0</v>
      </c>
      <c r="L56" s="16"/>
    </row>
    <row r="57" spans="1:12">
      <c r="A57" s="1"/>
      <c r="B57" s="1"/>
      <c r="D57" s="16"/>
      <c r="G57" s="40"/>
      <c r="J57" s="9"/>
      <c r="K57" s="9">
        <f t="shared" si="0"/>
        <v>0</v>
      </c>
      <c r="L57" s="16"/>
    </row>
    <row r="58" spans="1:12">
      <c r="A58" s="2" t="s">
        <v>3549</v>
      </c>
      <c r="B58" s="1"/>
      <c r="D58" s="16"/>
      <c r="G58" s="23" t="s">
        <v>3983</v>
      </c>
      <c r="H58" s="43">
        <f>AVERAGE(F59:F60)</f>
        <v>3.6491324703938281E-2</v>
      </c>
      <c r="I58" s="8"/>
      <c r="J58" s="44"/>
      <c r="K58" s="9">
        <f t="shared" si="0"/>
        <v>0</v>
      </c>
      <c r="L58" s="43"/>
    </row>
    <row r="59" spans="1:12">
      <c r="A59" s="1" t="s">
        <v>3550</v>
      </c>
      <c r="B59" s="7">
        <v>36.26</v>
      </c>
      <c r="C59" s="9">
        <v>36.340000000000003</v>
      </c>
      <c r="D59" s="16">
        <f>(C59-B59)/B59</f>
        <v>2.2062879205737838E-3</v>
      </c>
      <c r="E59" s="9">
        <v>36.31</v>
      </c>
      <c r="F59" s="16">
        <f>(C59-E59)/E59</f>
        <v>8.2621867254203073E-4</v>
      </c>
      <c r="G59" s="40"/>
      <c r="J59" s="9">
        <v>20.94</v>
      </c>
      <c r="K59" s="9">
        <f t="shared" si="0"/>
        <v>29.315999999999999</v>
      </c>
      <c r="L59" s="16">
        <f>(C59-K59)/K59</f>
        <v>0.23959612498294464</v>
      </c>
    </row>
    <row r="60" spans="1:12">
      <c r="A60" s="1" t="s">
        <v>3551</v>
      </c>
      <c r="B60" s="7">
        <v>38.9</v>
      </c>
      <c r="C60" s="9">
        <v>38.93</v>
      </c>
      <c r="D60" s="16">
        <f>(C60-B60)/B60</f>
        <v>7.7120822622110891E-4</v>
      </c>
      <c r="E60" s="9">
        <v>36.31</v>
      </c>
      <c r="F60" s="16">
        <f>(C60-E60)/E60</f>
        <v>7.2156430735334537E-2</v>
      </c>
      <c r="G60" s="40"/>
      <c r="J60" s="9">
        <v>20.94</v>
      </c>
      <c r="K60" s="9">
        <f t="shared" si="0"/>
        <v>29.315999999999999</v>
      </c>
      <c r="L60" s="16">
        <f>(C60-K60)/K60</f>
        <v>0.3279437849638423</v>
      </c>
    </row>
    <row r="61" spans="1:12">
      <c r="A61" s="1"/>
      <c r="B61" s="1"/>
      <c r="D61" s="16"/>
      <c r="G61" s="40"/>
      <c r="J61" s="9"/>
      <c r="K61" s="9">
        <f t="shared" si="0"/>
        <v>0</v>
      </c>
      <c r="L61" s="16"/>
    </row>
    <row r="62" spans="1:12">
      <c r="A62" s="2" t="s">
        <v>3552</v>
      </c>
      <c r="B62" s="5" t="s">
        <v>3534</v>
      </c>
      <c r="D62" s="16"/>
      <c r="G62" s="23" t="s">
        <v>3984</v>
      </c>
      <c r="H62" s="8"/>
      <c r="I62" s="43">
        <f>AVERAGE(F63)</f>
        <v>1.9090909090909169E-2</v>
      </c>
      <c r="J62" s="44"/>
      <c r="K62" s="9">
        <f t="shared" si="0"/>
        <v>0</v>
      </c>
      <c r="L62" s="43"/>
    </row>
    <row r="63" spans="1:12">
      <c r="A63" s="1" t="s">
        <v>3553</v>
      </c>
      <c r="B63" s="7">
        <v>21.25</v>
      </c>
      <c r="C63" s="9">
        <v>22.42</v>
      </c>
      <c r="D63" s="16">
        <f>(C63-B63)/B63</f>
        <v>5.5058823529411847E-2</v>
      </c>
      <c r="E63" s="9">
        <v>22</v>
      </c>
      <c r="F63" s="16">
        <f>(C63-E63)/E63</f>
        <v>1.9090909090909169E-2</v>
      </c>
      <c r="G63" s="40"/>
      <c r="J63" s="9"/>
      <c r="K63" s="9">
        <f t="shared" si="0"/>
        <v>0</v>
      </c>
      <c r="L63" s="16"/>
    </row>
    <row r="64" spans="1:12">
      <c r="A64" s="1"/>
      <c r="B64" s="7"/>
      <c r="D64" s="16"/>
      <c r="G64" s="40"/>
      <c r="J64" s="9"/>
      <c r="K64" s="9">
        <f t="shared" si="0"/>
        <v>0</v>
      </c>
      <c r="L64" s="16"/>
    </row>
    <row r="65" spans="1:12" ht="51">
      <c r="A65" s="2" t="s">
        <v>3554</v>
      </c>
      <c r="B65" s="3" t="s">
        <v>3547</v>
      </c>
      <c r="D65" s="16"/>
      <c r="G65" s="23" t="s">
        <v>3983</v>
      </c>
      <c r="H65" s="43">
        <f>AVERAGE(F66)</f>
        <v>0</v>
      </c>
      <c r="I65" s="8"/>
      <c r="J65" s="44"/>
      <c r="K65" s="9">
        <f t="shared" si="0"/>
        <v>0</v>
      </c>
      <c r="L65" s="43"/>
    </row>
    <row r="66" spans="1:12">
      <c r="A66" s="1" t="s">
        <v>3555</v>
      </c>
      <c r="B66" s="7">
        <v>33.57</v>
      </c>
      <c r="C66" s="9">
        <v>33.57</v>
      </c>
      <c r="D66" s="16">
        <f>(C66-B66)/B66</f>
        <v>0</v>
      </c>
      <c r="E66" s="9">
        <v>33.57</v>
      </c>
      <c r="F66" s="16">
        <f>(C66-E66)/E66</f>
        <v>0</v>
      </c>
      <c r="G66" s="40"/>
      <c r="J66" s="9"/>
      <c r="K66" s="9">
        <f t="shared" si="0"/>
        <v>0</v>
      </c>
      <c r="L66" s="16"/>
    </row>
    <row r="67" spans="1:12">
      <c r="A67" s="143"/>
      <c r="B67" s="143"/>
      <c r="D67" s="16"/>
      <c r="G67" s="40"/>
      <c r="J67" s="9"/>
      <c r="K67" s="9">
        <f t="shared" si="0"/>
        <v>0</v>
      </c>
      <c r="L67" s="16"/>
    </row>
    <row r="68" spans="1:12" ht="25.5">
      <c r="A68" s="2" t="s">
        <v>3556</v>
      </c>
      <c r="B68" s="3" t="s">
        <v>3510</v>
      </c>
      <c r="C68" s="9" t="s">
        <v>3479</v>
      </c>
      <c r="D68" s="16"/>
      <c r="G68" s="40" t="s">
        <v>3983</v>
      </c>
      <c r="H68" s="16">
        <f>AVERAGE(F69:F70)</f>
        <v>8.3056478405315604E-3</v>
      </c>
      <c r="K68" s="9">
        <f t="shared" si="0"/>
        <v>0</v>
      </c>
      <c r="L68" s="16"/>
    </row>
    <row r="69" spans="1:12">
      <c r="A69" s="1" t="s">
        <v>3557</v>
      </c>
      <c r="B69" s="7">
        <v>30.1</v>
      </c>
      <c r="C69" s="9">
        <v>30.1</v>
      </c>
      <c r="D69" s="16">
        <f>(C69-B69)/B69</f>
        <v>0</v>
      </c>
      <c r="E69" s="9">
        <v>30.1</v>
      </c>
      <c r="F69" s="16">
        <f>(C69-E69)/E69</f>
        <v>0</v>
      </c>
      <c r="G69" s="40"/>
      <c r="J69" s="9"/>
      <c r="K69" s="9">
        <f t="shared" si="0"/>
        <v>0</v>
      </c>
      <c r="L69" s="16"/>
    </row>
    <row r="70" spans="1:12">
      <c r="A70" s="1" t="s">
        <v>3558</v>
      </c>
      <c r="B70" s="7">
        <v>30.6</v>
      </c>
      <c r="C70" s="9">
        <v>30.6</v>
      </c>
      <c r="D70" s="16">
        <f>(C70-B70)/B70</f>
        <v>0</v>
      </c>
      <c r="E70" s="9">
        <v>30.1</v>
      </c>
      <c r="F70" s="16">
        <f>(C70-E70)/E70</f>
        <v>1.6611295681063121E-2</v>
      </c>
      <c r="G70" s="40"/>
      <c r="J70" s="9"/>
      <c r="K70" s="9">
        <f t="shared" si="0"/>
        <v>0</v>
      </c>
      <c r="L70" s="16"/>
    </row>
    <row r="71" spans="1:12">
      <c r="A71" s="143"/>
      <c r="B71" s="143"/>
      <c r="D71" s="16"/>
      <c r="G71" s="40"/>
      <c r="J71" s="9"/>
      <c r="K71" s="9">
        <f t="shared" si="0"/>
        <v>0</v>
      </c>
      <c r="L71" s="16"/>
    </row>
    <row r="72" spans="1:12" ht="25.5">
      <c r="A72" s="2" t="s">
        <v>3559</v>
      </c>
      <c r="B72" s="3" t="s">
        <v>3510</v>
      </c>
      <c r="D72" s="16"/>
      <c r="G72" s="23" t="s">
        <v>3983</v>
      </c>
      <c r="H72" s="43">
        <f>AVERAGE(F73:F75)</f>
        <v>3.8112164296998416E-2</v>
      </c>
      <c r="I72" s="8"/>
      <c r="J72" s="44"/>
      <c r="K72" s="9">
        <f t="shared" si="0"/>
        <v>0</v>
      </c>
      <c r="L72" s="43"/>
    </row>
    <row r="73" spans="1:12">
      <c r="A73" s="1" t="s">
        <v>3560</v>
      </c>
      <c r="B73" s="7">
        <v>33.76</v>
      </c>
      <c r="C73" s="9">
        <v>34.26</v>
      </c>
      <c r="D73" s="16">
        <f>(C73-B73)/B73</f>
        <v>1.481042654028436E-2</v>
      </c>
      <c r="E73" s="9">
        <v>33.76</v>
      </c>
      <c r="F73" s="16">
        <f>(C73-E73)/E73</f>
        <v>1.481042654028436E-2</v>
      </c>
      <c r="G73" s="40"/>
      <c r="J73" s="9"/>
      <c r="K73" s="9">
        <f t="shared" si="0"/>
        <v>0</v>
      </c>
      <c r="L73" s="16"/>
    </row>
    <row r="74" spans="1:12">
      <c r="A74" s="1" t="s">
        <v>3561</v>
      </c>
      <c r="B74" s="7">
        <v>34.76</v>
      </c>
      <c r="C74" s="9">
        <v>35.26</v>
      </c>
      <c r="D74" s="16">
        <f>(C74-B74)/B74</f>
        <v>1.4384349827387804E-2</v>
      </c>
      <c r="E74" s="9">
        <v>33.76</v>
      </c>
      <c r="F74" s="16">
        <f>(C74-E74)/E74</f>
        <v>4.4431279620853081E-2</v>
      </c>
      <c r="G74" s="40"/>
      <c r="J74" s="9"/>
      <c r="K74" s="9">
        <f t="shared" si="0"/>
        <v>0</v>
      </c>
      <c r="L74" s="16"/>
    </row>
    <row r="75" spans="1:12">
      <c r="A75" s="1" t="s">
        <v>3562</v>
      </c>
      <c r="B75" s="7">
        <v>35.119999999999997</v>
      </c>
      <c r="C75" s="9">
        <v>35.619999999999997</v>
      </c>
      <c r="D75" s="16">
        <f>(C75-B75)/B75</f>
        <v>1.4236902050113897E-2</v>
      </c>
      <c r="E75" s="9">
        <v>33.76</v>
      </c>
      <c r="F75" s="16">
        <f>(C75-E75)/E75</f>
        <v>5.5094786729857806E-2</v>
      </c>
      <c r="G75" s="40"/>
      <c r="J75" s="9"/>
      <c r="K75" s="9">
        <f t="shared" si="0"/>
        <v>0</v>
      </c>
      <c r="L75" s="16"/>
    </row>
    <row r="76" spans="1:12">
      <c r="A76" s="1"/>
      <c r="B76" s="1"/>
      <c r="D76" s="16"/>
      <c r="G76" s="40"/>
      <c r="J76" s="9"/>
      <c r="K76" s="9">
        <f t="shared" si="0"/>
        <v>0</v>
      </c>
      <c r="L76" s="16"/>
    </row>
    <row r="77" spans="1:12" ht="38.25">
      <c r="A77" s="2" t="s">
        <v>3563</v>
      </c>
      <c r="B77" s="3" t="s">
        <v>3564</v>
      </c>
      <c r="D77" s="16"/>
      <c r="G77" s="23" t="s">
        <v>3983</v>
      </c>
      <c r="H77" s="43">
        <f>AVERAGE(F78:F80)</f>
        <v>4.7984644913627604E-2</v>
      </c>
      <c r="I77" s="8"/>
      <c r="J77" s="44"/>
      <c r="K77" s="9">
        <f t="shared" si="0"/>
        <v>0</v>
      </c>
      <c r="L77" s="43"/>
    </row>
    <row r="78" spans="1:12">
      <c r="A78" s="1" t="s">
        <v>3565</v>
      </c>
      <c r="B78" s="7">
        <v>54.38</v>
      </c>
      <c r="C78" s="9">
        <v>56.74</v>
      </c>
      <c r="D78" s="16">
        <f>(C78-B78)/B78</f>
        <v>4.3398308201544673E-2</v>
      </c>
      <c r="E78" s="9">
        <v>57.31</v>
      </c>
      <c r="F78" s="16">
        <f>(C78-E78)/E78</f>
        <v>-9.9459082184610061E-3</v>
      </c>
      <c r="G78" s="40"/>
      <c r="J78" s="9"/>
      <c r="K78" s="9">
        <f t="shared" si="0"/>
        <v>0</v>
      </c>
      <c r="L78" s="16"/>
    </row>
    <row r="79" spans="1:12">
      <c r="A79" s="1" t="s">
        <v>3566</v>
      </c>
      <c r="B79" s="7">
        <v>57.68</v>
      </c>
      <c r="C79" s="9">
        <v>60.04</v>
      </c>
      <c r="D79" s="16">
        <f>(C79-B79)/B79</f>
        <v>4.0915395284327312E-2</v>
      </c>
      <c r="E79" s="9">
        <v>57.31</v>
      </c>
      <c r="F79" s="16">
        <f>(C79-E79)/E79</f>
        <v>4.7635665677892111E-2</v>
      </c>
      <c r="G79" s="40"/>
      <c r="J79" s="9"/>
      <c r="K79" s="9">
        <f t="shared" si="0"/>
        <v>0</v>
      </c>
      <c r="L79" s="16"/>
    </row>
    <row r="80" spans="1:12">
      <c r="A80" s="1" t="s">
        <v>3567</v>
      </c>
      <c r="B80" s="7">
        <v>61.04</v>
      </c>
      <c r="C80" s="9">
        <v>63.4</v>
      </c>
      <c r="D80" s="16">
        <f>(C80-B80)/B80</f>
        <v>3.8663171690694616E-2</v>
      </c>
      <c r="E80" s="9">
        <v>57.31</v>
      </c>
      <c r="F80" s="16">
        <f>(C80-E80)/E80</f>
        <v>0.10626417728145168</v>
      </c>
      <c r="G80" s="40"/>
      <c r="J80" s="9"/>
      <c r="K80" s="9">
        <f t="shared" si="0"/>
        <v>0</v>
      </c>
      <c r="L80" s="16"/>
    </row>
    <row r="81" spans="1:12">
      <c r="A81" s="143"/>
      <c r="B81" s="143"/>
      <c r="D81" s="16"/>
      <c r="G81" s="40"/>
      <c r="J81" s="9"/>
      <c r="K81" s="9">
        <f t="shared" si="0"/>
        <v>0</v>
      </c>
      <c r="L81" s="16"/>
    </row>
    <row r="82" spans="1:12" ht="25.5" customHeight="1">
      <c r="A82" s="2" t="s">
        <v>3568</v>
      </c>
      <c r="B82" s="142" t="s">
        <v>3570</v>
      </c>
      <c r="D82" s="16"/>
      <c r="G82" s="23" t="s">
        <v>3983</v>
      </c>
      <c r="H82" s="43">
        <f>AVERAGE(F84:F92,F94,F95,F96,F97)</f>
        <v>4.168996898673007E-3</v>
      </c>
      <c r="I82" s="8"/>
      <c r="J82" s="44"/>
      <c r="K82" s="9">
        <f t="shared" si="0"/>
        <v>0</v>
      </c>
      <c r="L82" s="43"/>
    </row>
    <row r="83" spans="1:12" ht="25.5">
      <c r="A83" s="3" t="s">
        <v>3569</v>
      </c>
      <c r="B83" s="142"/>
      <c r="D83" s="16"/>
      <c r="G83" s="40"/>
      <c r="J83" s="9"/>
      <c r="K83" s="9">
        <f t="shared" si="0"/>
        <v>0</v>
      </c>
    </row>
    <row r="84" spans="1:12">
      <c r="A84" s="1" t="s">
        <v>3571</v>
      </c>
      <c r="B84" s="7">
        <v>25.66</v>
      </c>
      <c r="C84" s="9">
        <v>25.66</v>
      </c>
      <c r="D84" s="16">
        <f t="shared" ref="D84:D92" si="3">(C84-B84)/B84</f>
        <v>0</v>
      </c>
      <c r="E84" s="9">
        <v>30.26</v>
      </c>
      <c r="F84" s="16">
        <f t="shared" ref="F84:F97" si="4">(C84-E84)/E84</f>
        <v>-0.15201586252478524</v>
      </c>
      <c r="G84" s="40"/>
      <c r="J84" s="9">
        <v>20.100000000000001</v>
      </c>
      <c r="K84" s="9">
        <f t="shared" si="0"/>
        <v>28.14</v>
      </c>
      <c r="L84" s="16">
        <f>(C84-K84)/K84</f>
        <v>-8.8130774697938896E-2</v>
      </c>
    </row>
    <row r="85" spans="1:12">
      <c r="A85" s="1" t="s">
        <v>3572</v>
      </c>
      <c r="B85" s="7">
        <v>27.16</v>
      </c>
      <c r="C85" s="9">
        <v>27.16</v>
      </c>
      <c r="D85" s="16">
        <f t="shared" si="3"/>
        <v>0</v>
      </c>
      <c r="E85" s="9">
        <v>30.26</v>
      </c>
      <c r="F85" s="16">
        <f t="shared" si="4"/>
        <v>-0.10244547257105094</v>
      </c>
      <c r="G85" s="40"/>
      <c r="J85" s="9">
        <v>20.100000000000001</v>
      </c>
      <c r="K85" s="9">
        <f t="shared" ref="K85:K129" si="5">J85*1.4</f>
        <v>28.14</v>
      </c>
      <c r="L85" s="16">
        <f t="shared" ref="L85:L92" si="6">(C85-K85)/K85</f>
        <v>-3.4825870646766184E-2</v>
      </c>
    </row>
    <row r="86" spans="1:12">
      <c r="A86" s="1" t="s">
        <v>3573</v>
      </c>
      <c r="B86" s="7">
        <v>30.82</v>
      </c>
      <c r="C86" s="9">
        <v>30.82</v>
      </c>
      <c r="D86" s="16">
        <f t="shared" si="3"/>
        <v>0</v>
      </c>
      <c r="E86" s="9">
        <v>30.26</v>
      </c>
      <c r="F86" s="16">
        <f t="shared" si="4"/>
        <v>1.8506278916060763E-2</v>
      </c>
      <c r="G86" s="40"/>
      <c r="J86" s="9">
        <v>20.100000000000001</v>
      </c>
      <c r="K86" s="9">
        <f t="shared" si="5"/>
        <v>28.14</v>
      </c>
      <c r="L86" s="16">
        <f t="shared" si="6"/>
        <v>9.5238095238095233E-2</v>
      </c>
    </row>
    <row r="87" spans="1:12">
      <c r="A87" s="1" t="s">
        <v>3574</v>
      </c>
      <c r="B87" s="7">
        <v>27.95</v>
      </c>
      <c r="C87" s="9">
        <v>27.95</v>
      </c>
      <c r="D87" s="16">
        <f t="shared" si="3"/>
        <v>0</v>
      </c>
      <c r="E87" s="9">
        <v>30.26</v>
      </c>
      <c r="F87" s="16">
        <f t="shared" si="4"/>
        <v>-7.6338400528750891E-2</v>
      </c>
      <c r="G87" s="40"/>
      <c r="J87" s="9">
        <v>20.100000000000001</v>
      </c>
      <c r="K87" s="9">
        <f t="shared" si="5"/>
        <v>28.14</v>
      </c>
      <c r="L87" s="16">
        <f t="shared" si="6"/>
        <v>-6.751954513148588E-3</v>
      </c>
    </row>
    <row r="88" spans="1:12">
      <c r="A88" s="1" t="s">
        <v>3575</v>
      </c>
      <c r="B88" s="7">
        <v>30.92</v>
      </c>
      <c r="C88" s="9">
        <v>30.92</v>
      </c>
      <c r="D88" s="16">
        <f t="shared" si="3"/>
        <v>0</v>
      </c>
      <c r="E88" s="9">
        <v>30.26</v>
      </c>
      <c r="F88" s="16">
        <f t="shared" si="4"/>
        <v>2.1810971579643096E-2</v>
      </c>
      <c r="G88" s="40"/>
      <c r="J88" s="9">
        <v>20.100000000000001</v>
      </c>
      <c r="K88" s="9">
        <f t="shared" si="5"/>
        <v>28.14</v>
      </c>
      <c r="L88" s="16">
        <f t="shared" si="6"/>
        <v>9.8791755508173457E-2</v>
      </c>
    </row>
    <row r="89" spans="1:12">
      <c r="A89" s="1" t="s">
        <v>3576</v>
      </c>
      <c r="B89" s="7">
        <v>31.07</v>
      </c>
      <c r="C89" s="9">
        <v>31.07</v>
      </c>
      <c r="D89" s="16">
        <f t="shared" si="3"/>
        <v>0</v>
      </c>
      <c r="E89" s="9">
        <v>30.26</v>
      </c>
      <c r="F89" s="16">
        <f t="shared" si="4"/>
        <v>2.6768010575016481E-2</v>
      </c>
      <c r="G89" s="40"/>
      <c r="J89" s="9">
        <v>20.100000000000001</v>
      </c>
      <c r="K89" s="9">
        <f t="shared" si="5"/>
        <v>28.14</v>
      </c>
      <c r="L89" s="16">
        <f t="shared" si="6"/>
        <v>0.10412224591329068</v>
      </c>
    </row>
    <row r="90" spans="1:12">
      <c r="A90" s="1" t="s">
        <v>3577</v>
      </c>
      <c r="B90" s="7">
        <v>31.32</v>
      </c>
      <c r="C90" s="9">
        <v>31.32</v>
      </c>
      <c r="D90" s="16">
        <f t="shared" si="3"/>
        <v>0</v>
      </c>
      <c r="E90" s="9">
        <v>30.26</v>
      </c>
      <c r="F90" s="16">
        <f t="shared" si="4"/>
        <v>3.5029742233972198E-2</v>
      </c>
      <c r="G90" s="40"/>
      <c r="J90" s="9">
        <v>20.100000000000001</v>
      </c>
      <c r="K90" s="9">
        <f t="shared" si="5"/>
        <v>28.14</v>
      </c>
      <c r="L90" s="16">
        <f t="shared" si="6"/>
        <v>0.11300639658848613</v>
      </c>
    </row>
    <row r="91" spans="1:12">
      <c r="A91" s="1" t="s">
        <v>3578</v>
      </c>
      <c r="B91" s="7">
        <v>32.57</v>
      </c>
      <c r="C91" s="9">
        <v>32.57</v>
      </c>
      <c r="D91" s="16">
        <f t="shared" si="3"/>
        <v>0</v>
      </c>
      <c r="E91" s="9">
        <v>30.26</v>
      </c>
      <c r="F91" s="16">
        <f t="shared" si="4"/>
        <v>7.633840052875078E-2</v>
      </c>
      <c r="G91" s="40"/>
      <c r="J91" s="9">
        <v>20.100000000000001</v>
      </c>
      <c r="K91" s="9">
        <f t="shared" si="5"/>
        <v>28.14</v>
      </c>
      <c r="L91" s="16">
        <f t="shared" si="6"/>
        <v>0.15742714996446339</v>
      </c>
    </row>
    <row r="92" spans="1:12">
      <c r="A92" s="1" t="s">
        <v>3579</v>
      </c>
      <c r="B92" s="7">
        <v>31.62</v>
      </c>
      <c r="C92" s="9">
        <v>31.62</v>
      </c>
      <c r="D92" s="16">
        <f t="shared" si="3"/>
        <v>0</v>
      </c>
      <c r="E92" s="9">
        <v>30.26</v>
      </c>
      <c r="F92" s="16">
        <f t="shared" si="4"/>
        <v>4.4943820224719079E-2</v>
      </c>
      <c r="G92" s="40"/>
      <c r="J92" s="9">
        <v>20.100000000000001</v>
      </c>
      <c r="K92" s="9">
        <f t="shared" si="5"/>
        <v>28.14</v>
      </c>
      <c r="L92" s="16">
        <f t="shared" si="6"/>
        <v>0.12366737739872069</v>
      </c>
    </row>
    <row r="93" spans="1:12">
      <c r="A93" s="1" t="s">
        <v>3580</v>
      </c>
      <c r="B93" s="7"/>
      <c r="C93" s="7"/>
      <c r="D93" s="16"/>
      <c r="G93" s="40"/>
      <c r="J93" s="9"/>
      <c r="K93" s="9">
        <f t="shared" si="5"/>
        <v>0</v>
      </c>
      <c r="L93" s="16"/>
    </row>
    <row r="94" spans="1:12">
      <c r="A94" s="1" t="s">
        <v>3581</v>
      </c>
      <c r="B94" s="7">
        <v>31.62</v>
      </c>
      <c r="C94" s="9">
        <v>31.62</v>
      </c>
      <c r="D94" s="16">
        <f>(C94-B94)/B94</f>
        <v>0</v>
      </c>
      <c r="E94" s="9">
        <v>30.26</v>
      </c>
      <c r="F94" s="16">
        <f t="shared" si="4"/>
        <v>4.4943820224719079E-2</v>
      </c>
      <c r="G94" s="40"/>
      <c r="J94" s="9">
        <v>20.100000000000001</v>
      </c>
      <c r="K94" s="9">
        <f t="shared" si="5"/>
        <v>28.14</v>
      </c>
      <c r="L94" s="16">
        <f>(C94-K94)/K94</f>
        <v>0.12366737739872069</v>
      </c>
    </row>
    <row r="95" spans="1:12">
      <c r="A95" s="1" t="s">
        <v>3582</v>
      </c>
      <c r="B95" s="7">
        <v>31.32</v>
      </c>
      <c r="C95" s="9">
        <v>31.32</v>
      </c>
      <c r="D95" s="16">
        <f>(C95-B95)/B95</f>
        <v>0</v>
      </c>
      <c r="E95" s="9">
        <v>30.26</v>
      </c>
      <c r="F95" s="16">
        <f t="shared" si="4"/>
        <v>3.5029742233972198E-2</v>
      </c>
      <c r="G95" s="40"/>
      <c r="J95" s="9">
        <v>20.100000000000001</v>
      </c>
      <c r="K95" s="9">
        <f t="shared" si="5"/>
        <v>28.14</v>
      </c>
      <c r="L95" s="16">
        <f t="shared" ref="L95:L97" si="7">(C95-K95)/K95</f>
        <v>0.11300639658848613</v>
      </c>
    </row>
    <row r="96" spans="1:12">
      <c r="A96" s="1" t="s">
        <v>3583</v>
      </c>
      <c r="B96" s="7">
        <v>30.97</v>
      </c>
      <c r="C96" s="9">
        <v>30.97</v>
      </c>
      <c r="D96" s="16">
        <f>(C96-B96)/B96</f>
        <v>0</v>
      </c>
      <c r="E96" s="9">
        <v>30.26</v>
      </c>
      <c r="F96" s="16">
        <f t="shared" si="4"/>
        <v>2.3463317911434148E-2</v>
      </c>
      <c r="G96" s="40"/>
      <c r="J96" s="9">
        <v>20.100000000000001</v>
      </c>
      <c r="K96" s="9">
        <f t="shared" si="5"/>
        <v>28.14</v>
      </c>
      <c r="L96" s="16">
        <f t="shared" si="7"/>
        <v>0.10056858564321244</v>
      </c>
    </row>
    <row r="97" spans="1:12">
      <c r="A97" s="1" t="s">
        <v>3584</v>
      </c>
      <c r="B97" s="7">
        <v>32.020000000000003</v>
      </c>
      <c r="C97" s="9">
        <v>32.020000000000003</v>
      </c>
      <c r="D97" s="16">
        <f>(C97-B97)/B97</f>
        <v>0</v>
      </c>
      <c r="E97" s="9">
        <v>30.26</v>
      </c>
      <c r="F97" s="16">
        <f t="shared" si="4"/>
        <v>5.81625908790483E-2</v>
      </c>
      <c r="G97" s="40"/>
      <c r="J97" s="9">
        <v>20.100000000000001</v>
      </c>
      <c r="K97" s="9">
        <f t="shared" si="5"/>
        <v>28.14</v>
      </c>
      <c r="L97" s="16">
        <f t="shared" si="7"/>
        <v>0.1378820184790335</v>
      </c>
    </row>
    <row r="98" spans="1:12">
      <c r="A98" s="143"/>
      <c r="B98" s="143"/>
      <c r="D98" s="16"/>
      <c r="G98" s="40"/>
      <c r="J98" s="9"/>
      <c r="K98" s="9">
        <f t="shared" si="5"/>
        <v>0</v>
      </c>
      <c r="L98" s="16"/>
    </row>
    <row r="99" spans="1:12" ht="38.25">
      <c r="A99" s="2" t="s">
        <v>3585</v>
      </c>
      <c r="B99" s="3" t="s">
        <v>3586</v>
      </c>
      <c r="D99" s="16"/>
      <c r="G99" s="23" t="s">
        <v>3983</v>
      </c>
      <c r="H99" s="43">
        <f>AVERAGE(F100,F101,F102)</f>
        <v>-7.6331395690213549E-4</v>
      </c>
      <c r="I99" s="8"/>
      <c r="J99" s="44"/>
      <c r="K99" s="9">
        <f t="shared" si="5"/>
        <v>0</v>
      </c>
      <c r="L99" s="43"/>
    </row>
    <row r="100" spans="1:12">
      <c r="A100" s="1" t="s">
        <v>3587</v>
      </c>
      <c r="B100" s="7">
        <v>57.06</v>
      </c>
      <c r="C100" s="9">
        <v>54.56</v>
      </c>
      <c r="D100" s="16">
        <f>(C100-B100)/B100</f>
        <v>-4.3813529617946018E-2</v>
      </c>
      <c r="E100" s="9">
        <v>56.77</v>
      </c>
      <c r="F100" s="16">
        <f>(C100-E100)/E100</f>
        <v>-3.8929011802008119E-2</v>
      </c>
      <c r="J100" s="9"/>
      <c r="K100" s="9">
        <f t="shared" si="5"/>
        <v>0</v>
      </c>
      <c r="L100" s="16"/>
    </row>
    <row r="101" spans="1:12">
      <c r="A101" s="1" t="s">
        <v>3588</v>
      </c>
      <c r="B101" s="7">
        <v>59.56</v>
      </c>
      <c r="C101" s="9">
        <v>57.06</v>
      </c>
      <c r="D101" s="16">
        <f>(C101-B101)/B101</f>
        <v>-4.1974479516453993E-2</v>
      </c>
      <c r="E101" s="9">
        <v>56.77</v>
      </c>
      <c r="F101" s="16">
        <f>(C101-E101)/E101</f>
        <v>5.1083318654218625E-3</v>
      </c>
      <c r="G101" s="40"/>
      <c r="J101" s="9"/>
      <c r="K101" s="9">
        <f t="shared" si="5"/>
        <v>0</v>
      </c>
      <c r="L101" s="16"/>
    </row>
    <row r="102" spans="1:12" ht="25.5">
      <c r="A102" s="1" t="s">
        <v>3589</v>
      </c>
      <c r="B102" s="7">
        <v>61.06</v>
      </c>
      <c r="C102" s="9">
        <v>58.56</v>
      </c>
      <c r="D102" s="16">
        <f>(C102-B102)/B102</f>
        <v>-4.0943334425155582E-2</v>
      </c>
      <c r="E102" s="9">
        <v>56.77</v>
      </c>
      <c r="F102" s="16">
        <f>(C102-E102)/E102</f>
        <v>3.1530738065879853E-2</v>
      </c>
      <c r="G102" s="40"/>
      <c r="J102" s="9"/>
      <c r="K102" s="9">
        <f t="shared" si="5"/>
        <v>0</v>
      </c>
      <c r="L102" s="16"/>
    </row>
    <row r="103" spans="1:12">
      <c r="A103" s="143"/>
      <c r="B103" s="143"/>
      <c r="D103" s="16"/>
      <c r="G103" s="40"/>
      <c r="J103" s="9"/>
      <c r="K103" s="9">
        <f t="shared" si="5"/>
        <v>0</v>
      </c>
      <c r="L103" s="16"/>
    </row>
    <row r="104" spans="1:12">
      <c r="A104" s="2" t="s">
        <v>3590</v>
      </c>
      <c r="B104" s="1"/>
      <c r="D104" s="16"/>
      <c r="G104" s="40"/>
      <c r="J104" s="9"/>
      <c r="K104" s="9">
        <f t="shared" si="5"/>
        <v>0</v>
      </c>
      <c r="L104" s="16"/>
    </row>
    <row r="105" spans="1:12">
      <c r="A105" s="1" t="s">
        <v>3591</v>
      </c>
      <c r="B105" s="7">
        <v>49.7</v>
      </c>
      <c r="C105" s="9">
        <v>25.01</v>
      </c>
      <c r="D105" s="16">
        <f>(C105-B105)/B105</f>
        <v>-0.49678068410462778</v>
      </c>
      <c r="G105" s="40"/>
      <c r="J105" s="9"/>
      <c r="K105" s="9">
        <f t="shared" si="5"/>
        <v>0</v>
      </c>
      <c r="L105" s="16"/>
    </row>
    <row r="106" spans="1:12">
      <c r="A106" s="143"/>
      <c r="B106" s="143"/>
      <c r="D106" s="16"/>
      <c r="G106" s="40"/>
      <c r="J106" s="9"/>
      <c r="K106" s="9">
        <f t="shared" si="5"/>
        <v>0</v>
      </c>
      <c r="L106" s="16"/>
    </row>
    <row r="107" spans="1:12" ht="25.5" customHeight="1">
      <c r="A107" s="2" t="s">
        <v>3592</v>
      </c>
      <c r="B107" s="142" t="s">
        <v>3510</v>
      </c>
      <c r="D107" s="16"/>
      <c r="G107" s="23" t="s">
        <v>3983</v>
      </c>
      <c r="H107" s="43">
        <f>AVERAGE(F109:F160)</f>
        <v>8.8751982432597215E-2</v>
      </c>
      <c r="I107" s="8"/>
      <c r="J107" s="44"/>
      <c r="K107" s="9">
        <f t="shared" si="5"/>
        <v>0</v>
      </c>
      <c r="L107" s="43"/>
    </row>
    <row r="108" spans="1:12" ht="25.5">
      <c r="A108" s="3" t="s">
        <v>3569</v>
      </c>
      <c r="B108" s="142"/>
      <c r="D108" s="16"/>
      <c r="G108" s="40"/>
      <c r="J108" s="9"/>
      <c r="K108" s="9">
        <f t="shared" si="5"/>
        <v>0</v>
      </c>
      <c r="L108" s="16"/>
    </row>
    <row r="109" spans="1:12">
      <c r="A109" s="1" t="s">
        <v>3573</v>
      </c>
      <c r="B109" s="7">
        <v>41.33</v>
      </c>
      <c r="C109" s="9">
        <v>43.08</v>
      </c>
      <c r="D109" s="16">
        <f t="shared" ref="D109:D124" si="8">(C109-B109)/B109</f>
        <v>4.2342124364868138E-2</v>
      </c>
      <c r="E109" s="9">
        <v>46.84</v>
      </c>
      <c r="F109" s="16">
        <f t="shared" ref="F109:F124" si="9">(C109-E109)/E109</f>
        <v>-8.0273270708796002E-2</v>
      </c>
      <c r="G109" s="40"/>
      <c r="J109" s="9">
        <v>16.45</v>
      </c>
      <c r="K109" s="9">
        <f t="shared" si="5"/>
        <v>23.029999999999998</v>
      </c>
      <c r="L109" s="16">
        <f>(C109-K109)/K109</f>
        <v>0.87060356057316557</v>
      </c>
    </row>
    <row r="110" spans="1:12">
      <c r="A110" s="1" t="s">
        <v>3574</v>
      </c>
      <c r="B110" s="7">
        <v>44.09</v>
      </c>
      <c r="C110" s="9">
        <v>45.84</v>
      </c>
      <c r="D110" s="16">
        <f t="shared" si="8"/>
        <v>3.9691540031753229E-2</v>
      </c>
      <c r="E110" s="9">
        <v>46.84</v>
      </c>
      <c r="F110" s="16">
        <f t="shared" si="9"/>
        <v>-2.1349274124679761E-2</v>
      </c>
      <c r="G110" s="40"/>
      <c r="J110" s="9">
        <v>16.45</v>
      </c>
      <c r="K110" s="9">
        <f t="shared" si="5"/>
        <v>23.029999999999998</v>
      </c>
      <c r="L110" s="16">
        <f t="shared" ref="L110:L124" si="10">(C110-K110)/K110</f>
        <v>0.99044724272687834</v>
      </c>
    </row>
    <row r="111" spans="1:12">
      <c r="A111" s="1" t="s">
        <v>3575</v>
      </c>
      <c r="B111" s="7">
        <v>44.62</v>
      </c>
      <c r="C111" s="9">
        <v>46.37</v>
      </c>
      <c r="D111" s="16">
        <f t="shared" si="8"/>
        <v>3.9220080681308833E-2</v>
      </c>
      <c r="E111" s="9">
        <v>46.84</v>
      </c>
      <c r="F111" s="16">
        <f t="shared" si="9"/>
        <v>-1.0034158838599615E-2</v>
      </c>
      <c r="G111" s="40"/>
      <c r="J111" s="9">
        <v>16.45</v>
      </c>
      <c r="K111" s="9">
        <f t="shared" si="5"/>
        <v>23.029999999999998</v>
      </c>
      <c r="L111" s="16">
        <f t="shared" si="10"/>
        <v>1.0134607034303085</v>
      </c>
    </row>
    <row r="112" spans="1:12">
      <c r="A112" s="1" t="s">
        <v>3576</v>
      </c>
      <c r="B112" s="7">
        <v>44.89</v>
      </c>
      <c r="C112" s="9">
        <v>46.64</v>
      </c>
      <c r="D112" s="16">
        <f t="shared" si="8"/>
        <v>3.8984183559812875E-2</v>
      </c>
      <c r="E112" s="9">
        <v>46.84</v>
      </c>
      <c r="F112" s="16">
        <f t="shared" si="9"/>
        <v>-4.2698548249360127E-3</v>
      </c>
      <c r="G112" s="40"/>
      <c r="J112" s="9">
        <v>16.45</v>
      </c>
      <c r="K112" s="9">
        <f t="shared" si="5"/>
        <v>23.029999999999998</v>
      </c>
      <c r="L112" s="16">
        <f t="shared" si="10"/>
        <v>1.0251845419018675</v>
      </c>
    </row>
    <row r="113" spans="1:12">
      <c r="A113" s="1" t="s">
        <v>3577</v>
      </c>
      <c r="B113" s="7">
        <v>45.63</v>
      </c>
      <c r="C113" s="9">
        <v>47.38</v>
      </c>
      <c r="D113" s="16">
        <f t="shared" si="8"/>
        <v>3.8351961428884501E-2</v>
      </c>
      <c r="E113" s="9">
        <v>46.84</v>
      </c>
      <c r="F113" s="16">
        <f t="shared" si="9"/>
        <v>1.1528608027327051E-2</v>
      </c>
      <c r="G113" s="40"/>
      <c r="J113" s="9">
        <v>16.45</v>
      </c>
      <c r="K113" s="9">
        <f t="shared" si="5"/>
        <v>23.029999999999998</v>
      </c>
      <c r="L113" s="16">
        <f t="shared" si="10"/>
        <v>1.0573165436387324</v>
      </c>
    </row>
    <row r="114" spans="1:12">
      <c r="A114" s="1" t="s">
        <v>3579</v>
      </c>
      <c r="B114" s="7">
        <v>45.93</v>
      </c>
      <c r="C114" s="9">
        <v>47.68</v>
      </c>
      <c r="D114" s="16">
        <f t="shared" si="8"/>
        <v>3.8101458741563246E-2</v>
      </c>
      <c r="E114" s="9">
        <v>46.84</v>
      </c>
      <c r="F114" s="16">
        <f t="shared" si="9"/>
        <v>1.7933390264730918E-2</v>
      </c>
      <c r="G114" s="40"/>
      <c r="J114" s="9">
        <v>16.45</v>
      </c>
      <c r="K114" s="9">
        <f t="shared" si="5"/>
        <v>23.029999999999998</v>
      </c>
      <c r="L114" s="16">
        <f t="shared" si="10"/>
        <v>1.0703430308293531</v>
      </c>
    </row>
    <row r="115" spans="1:12">
      <c r="A115" s="1" t="s">
        <v>3580</v>
      </c>
      <c r="B115" s="7">
        <v>46.1</v>
      </c>
      <c r="C115" s="9">
        <v>47.85</v>
      </c>
      <c r="D115" s="16">
        <f t="shared" si="8"/>
        <v>3.7960954446854663E-2</v>
      </c>
      <c r="E115" s="9">
        <v>46.84</v>
      </c>
      <c r="F115" s="16">
        <f t="shared" si="9"/>
        <v>2.1562766865926515E-2</v>
      </c>
      <c r="G115" s="40"/>
      <c r="J115" s="9">
        <v>16.45</v>
      </c>
      <c r="K115" s="9">
        <f t="shared" si="5"/>
        <v>23.029999999999998</v>
      </c>
      <c r="L115" s="16">
        <f t="shared" si="10"/>
        <v>1.0777247069040385</v>
      </c>
    </row>
    <row r="116" spans="1:12">
      <c r="A116" s="1" t="s">
        <v>3593</v>
      </c>
      <c r="B116" s="7">
        <v>46.35</v>
      </c>
      <c r="C116" s="9">
        <v>48.1</v>
      </c>
      <c r="D116" s="16">
        <f t="shared" si="8"/>
        <v>3.7756202804746494E-2</v>
      </c>
      <c r="E116" s="9">
        <v>46.84</v>
      </c>
      <c r="F116" s="16">
        <f t="shared" si="9"/>
        <v>2.6900085397096454E-2</v>
      </c>
      <c r="G116" s="40"/>
      <c r="J116" s="9">
        <v>16.45</v>
      </c>
      <c r="K116" s="9">
        <f t="shared" si="5"/>
        <v>23.029999999999998</v>
      </c>
      <c r="L116" s="16">
        <f t="shared" si="10"/>
        <v>1.0885801128962227</v>
      </c>
    </row>
    <row r="117" spans="1:12">
      <c r="A117" s="1" t="s">
        <v>3594</v>
      </c>
      <c r="B117" s="7">
        <v>46.94</v>
      </c>
      <c r="C117" s="9">
        <v>48.69</v>
      </c>
      <c r="D117" s="16">
        <f t="shared" si="8"/>
        <v>3.7281636131231359E-2</v>
      </c>
      <c r="E117" s="9">
        <v>46.84</v>
      </c>
      <c r="F117" s="16">
        <f t="shared" si="9"/>
        <v>3.9496157130657433E-2</v>
      </c>
      <c r="G117" s="40"/>
      <c r="J117" s="9">
        <v>16.45</v>
      </c>
      <c r="K117" s="9">
        <f t="shared" si="5"/>
        <v>23.029999999999998</v>
      </c>
      <c r="L117" s="16">
        <f t="shared" si="10"/>
        <v>1.114198871037777</v>
      </c>
    </row>
    <row r="118" spans="1:12">
      <c r="A118" s="1" t="s">
        <v>3595</v>
      </c>
      <c r="B118" s="7">
        <v>47.26</v>
      </c>
      <c r="C118" s="9">
        <v>49.01</v>
      </c>
      <c r="D118" s="16">
        <f t="shared" si="8"/>
        <v>3.7029200169276348E-2</v>
      </c>
      <c r="E118" s="9">
        <v>46.84</v>
      </c>
      <c r="F118" s="16">
        <f t="shared" si="9"/>
        <v>4.6327924850554959E-2</v>
      </c>
      <c r="G118" s="40"/>
      <c r="J118" s="9">
        <v>16.45</v>
      </c>
      <c r="K118" s="9">
        <f t="shared" si="5"/>
        <v>23.029999999999998</v>
      </c>
      <c r="L118" s="16">
        <f t="shared" si="10"/>
        <v>1.1280937907077726</v>
      </c>
    </row>
    <row r="119" spans="1:12">
      <c r="A119" s="1" t="s">
        <v>3596</v>
      </c>
      <c r="B119" s="7">
        <v>47.61</v>
      </c>
      <c r="C119" s="9">
        <v>49.36</v>
      </c>
      <c r="D119" s="16">
        <f t="shared" si="8"/>
        <v>3.6756983826927117E-2</v>
      </c>
      <c r="E119" s="9">
        <v>46.84</v>
      </c>
      <c r="F119" s="16">
        <f t="shared" si="9"/>
        <v>5.3800170794192907E-2</v>
      </c>
      <c r="G119" s="40"/>
      <c r="J119" s="9">
        <v>16.45</v>
      </c>
      <c r="K119" s="9">
        <f t="shared" si="5"/>
        <v>23.029999999999998</v>
      </c>
      <c r="L119" s="16">
        <f t="shared" si="10"/>
        <v>1.1432913590968303</v>
      </c>
    </row>
    <row r="120" spans="1:12">
      <c r="A120" s="1" t="s">
        <v>3597</v>
      </c>
      <c r="B120" s="7">
        <v>47.8</v>
      </c>
      <c r="C120" s="9">
        <v>49.55</v>
      </c>
      <c r="D120" s="16">
        <f t="shared" si="8"/>
        <v>3.6610878661087871E-2</v>
      </c>
      <c r="E120" s="9">
        <v>46.84</v>
      </c>
      <c r="F120" s="16">
        <f t="shared" si="9"/>
        <v>5.7856532877882012E-2</v>
      </c>
      <c r="G120" s="40"/>
      <c r="J120" s="9">
        <v>16.45</v>
      </c>
      <c r="K120" s="9">
        <f t="shared" si="5"/>
        <v>23.029999999999998</v>
      </c>
      <c r="L120" s="16">
        <f t="shared" si="10"/>
        <v>1.1515414676508902</v>
      </c>
    </row>
    <row r="121" spans="1:12">
      <c r="A121" s="1" t="s">
        <v>3598</v>
      </c>
      <c r="B121" s="7">
        <v>48.04</v>
      </c>
      <c r="C121" s="9">
        <v>49.79</v>
      </c>
      <c r="D121" s="16">
        <f t="shared" si="8"/>
        <v>3.6427976686094925E-2</v>
      </c>
      <c r="E121" s="9">
        <v>46.84</v>
      </c>
      <c r="F121" s="16">
        <f t="shared" si="9"/>
        <v>6.29803586678052E-2</v>
      </c>
      <c r="G121" s="40"/>
      <c r="J121" s="9">
        <v>16.45</v>
      </c>
      <c r="K121" s="9">
        <f t="shared" si="5"/>
        <v>23.029999999999998</v>
      </c>
      <c r="L121" s="16">
        <f t="shared" si="10"/>
        <v>1.161962657403387</v>
      </c>
    </row>
    <row r="122" spans="1:12">
      <c r="A122" s="1" t="s">
        <v>3599</v>
      </c>
      <c r="B122" s="7">
        <v>49.68</v>
      </c>
      <c r="C122" s="9">
        <v>51.43</v>
      </c>
      <c r="D122" s="16">
        <f t="shared" si="8"/>
        <v>3.5225442834138483E-2</v>
      </c>
      <c r="E122" s="9">
        <v>46.84</v>
      </c>
      <c r="F122" s="16">
        <f t="shared" si="9"/>
        <v>9.799316823228002E-2</v>
      </c>
      <c r="G122" s="40"/>
      <c r="J122" s="9">
        <v>16.45</v>
      </c>
      <c r="K122" s="9">
        <f t="shared" si="5"/>
        <v>23.029999999999998</v>
      </c>
      <c r="L122" s="16">
        <f t="shared" si="10"/>
        <v>1.233174120712115</v>
      </c>
    </row>
    <row r="123" spans="1:12">
      <c r="A123" s="1" t="s">
        <v>3600</v>
      </c>
      <c r="B123" s="7">
        <v>50.49</v>
      </c>
      <c r="C123" s="9">
        <v>52.24</v>
      </c>
      <c r="D123" s="16">
        <f t="shared" si="8"/>
        <v>3.4660328777975834E-2</v>
      </c>
      <c r="E123" s="9">
        <v>46.84</v>
      </c>
      <c r="F123" s="16">
        <f t="shared" si="9"/>
        <v>0.11528608027327067</v>
      </c>
      <c r="G123" s="40"/>
      <c r="J123" s="9">
        <v>16.45</v>
      </c>
      <c r="K123" s="9">
        <f t="shared" si="5"/>
        <v>23.029999999999998</v>
      </c>
      <c r="L123" s="16">
        <f t="shared" si="10"/>
        <v>1.2683456361267915</v>
      </c>
    </row>
    <row r="124" spans="1:12">
      <c r="A124" s="1" t="s">
        <v>3601</v>
      </c>
      <c r="B124" s="7">
        <v>49.68</v>
      </c>
      <c r="C124" s="9">
        <v>51.43</v>
      </c>
      <c r="D124" s="16">
        <f t="shared" si="8"/>
        <v>3.5225442834138483E-2</v>
      </c>
      <c r="E124" s="9">
        <v>46.84</v>
      </c>
      <c r="F124" s="16">
        <f t="shared" si="9"/>
        <v>9.799316823228002E-2</v>
      </c>
      <c r="G124" s="40"/>
      <c r="J124" s="9">
        <v>16.45</v>
      </c>
      <c r="K124" s="9">
        <f t="shared" si="5"/>
        <v>23.029999999999998</v>
      </c>
      <c r="L124" s="16">
        <f t="shared" si="10"/>
        <v>1.233174120712115</v>
      </c>
    </row>
    <row r="125" spans="1:12" ht="25.5">
      <c r="A125" s="1" t="s">
        <v>3602</v>
      </c>
      <c r="B125" s="5" t="s">
        <v>3534</v>
      </c>
      <c r="D125" s="16"/>
      <c r="G125" s="40"/>
      <c r="J125" s="9"/>
      <c r="K125" s="9">
        <f t="shared" si="5"/>
        <v>0</v>
      </c>
      <c r="L125" s="16"/>
    </row>
    <row r="126" spans="1:12" ht="25.5">
      <c r="A126" s="1" t="s">
        <v>3603</v>
      </c>
      <c r="B126" s="5" t="s">
        <v>3534</v>
      </c>
      <c r="D126" s="16"/>
      <c r="G126" s="40"/>
      <c r="J126" s="9"/>
      <c r="K126" s="9">
        <f t="shared" si="5"/>
        <v>0</v>
      </c>
      <c r="L126" s="16"/>
    </row>
    <row r="127" spans="1:12">
      <c r="A127" s="143"/>
      <c r="B127" s="143"/>
      <c r="D127" s="16"/>
      <c r="G127" s="40"/>
      <c r="J127" s="9"/>
      <c r="K127" s="9">
        <f t="shared" si="5"/>
        <v>0</v>
      </c>
      <c r="L127" s="16"/>
    </row>
    <row r="128" spans="1:12" ht="25.5" customHeight="1">
      <c r="A128" s="2" t="s">
        <v>3604</v>
      </c>
      <c r="B128" s="142" t="s">
        <v>3510</v>
      </c>
      <c r="D128" s="16"/>
      <c r="G128" s="40"/>
      <c r="J128" s="9"/>
      <c r="K128" s="9">
        <f t="shared" si="5"/>
        <v>0</v>
      </c>
      <c r="L128" s="16"/>
    </row>
    <row r="129" spans="1:12" ht="25.5">
      <c r="A129" s="3" t="s">
        <v>3569</v>
      </c>
      <c r="B129" s="142"/>
      <c r="D129" s="16"/>
      <c r="G129" s="40"/>
      <c r="J129" s="9"/>
      <c r="K129" s="9">
        <f t="shared" si="5"/>
        <v>0</v>
      </c>
      <c r="L129" s="16"/>
    </row>
    <row r="130" spans="1:12">
      <c r="A130" s="1" t="s">
        <v>3573</v>
      </c>
      <c r="B130" s="7">
        <v>56.63</v>
      </c>
      <c r="C130" s="9">
        <v>58.38</v>
      </c>
      <c r="D130" s="16">
        <f t="shared" ref="D130:D141" si="11">(C130-B130)/B130</f>
        <v>3.0902348578491962E-2</v>
      </c>
      <c r="E130" s="9">
        <v>46.84</v>
      </c>
      <c r="F130" s="16">
        <f t="shared" ref="F130:F141" si="12">(C130-E130)/E130</f>
        <v>0.24637062339880442</v>
      </c>
      <c r="G130" s="40"/>
      <c r="J130" s="9">
        <v>17.88</v>
      </c>
      <c r="K130" s="9">
        <f>J130*1.4</f>
        <v>25.031999999999996</v>
      </c>
      <c r="L130" s="16">
        <f>(C130-K130)/K130</f>
        <v>1.3322147651006715</v>
      </c>
    </row>
    <row r="131" spans="1:12">
      <c r="A131" s="1" t="s">
        <v>3605</v>
      </c>
      <c r="B131" s="7">
        <v>50.46</v>
      </c>
      <c r="C131" s="9">
        <v>52.21</v>
      </c>
      <c r="D131" s="16">
        <f t="shared" si="11"/>
        <v>3.4680935394371781E-2</v>
      </c>
      <c r="E131" s="9">
        <v>46.84</v>
      </c>
      <c r="F131" s="16">
        <f t="shared" si="12"/>
        <v>0.11464560204953025</v>
      </c>
      <c r="G131" s="40"/>
      <c r="J131" s="9">
        <v>17.88</v>
      </c>
      <c r="K131" s="9">
        <f t="shared" ref="K131:K194" si="13">J131*1.4</f>
        <v>25.031999999999996</v>
      </c>
      <c r="L131" s="16">
        <f t="shared" ref="L131:L141" si="14">(C131-K131)/K131</f>
        <v>1.085730265260467</v>
      </c>
    </row>
    <row r="132" spans="1:12">
      <c r="A132" s="1" t="s">
        <v>3606</v>
      </c>
      <c r="B132" s="7">
        <v>48.5</v>
      </c>
      <c r="C132" s="9">
        <v>50.25</v>
      </c>
      <c r="D132" s="16">
        <f t="shared" si="11"/>
        <v>3.608247422680412E-2</v>
      </c>
      <c r="E132" s="9">
        <v>46.84</v>
      </c>
      <c r="F132" s="16">
        <f t="shared" si="12"/>
        <v>7.2801024765157901E-2</v>
      </c>
      <c r="G132" s="40"/>
      <c r="J132" s="9">
        <v>17.88</v>
      </c>
      <c r="K132" s="9">
        <f t="shared" si="13"/>
        <v>25.031999999999996</v>
      </c>
      <c r="L132" s="16">
        <f t="shared" si="14"/>
        <v>1.0074304889741135</v>
      </c>
    </row>
    <row r="133" spans="1:12">
      <c r="A133" s="1" t="s">
        <v>3575</v>
      </c>
      <c r="B133" s="7">
        <v>55.12</v>
      </c>
      <c r="C133" s="9">
        <v>56.87</v>
      </c>
      <c r="D133" s="16">
        <f t="shared" si="11"/>
        <v>3.17489114658926E-2</v>
      </c>
      <c r="E133" s="9">
        <v>46.84</v>
      </c>
      <c r="F133" s="16">
        <f t="shared" si="12"/>
        <v>0.21413321947053787</v>
      </c>
      <c r="G133" s="40"/>
      <c r="J133" s="9">
        <v>17.88</v>
      </c>
      <c r="K133" s="9">
        <f t="shared" si="13"/>
        <v>25.031999999999996</v>
      </c>
      <c r="L133" s="16">
        <f t="shared" si="14"/>
        <v>1.2718919782678173</v>
      </c>
    </row>
    <row r="134" spans="1:12">
      <c r="A134" s="1" t="s">
        <v>3607</v>
      </c>
      <c r="B134" s="7">
        <v>50.21</v>
      </c>
      <c r="C134" s="9">
        <v>51.96</v>
      </c>
      <c r="D134" s="16">
        <f t="shared" si="11"/>
        <v>3.4853614817765388E-2</v>
      </c>
      <c r="E134" s="9">
        <v>46.84</v>
      </c>
      <c r="F134" s="16">
        <f t="shared" si="12"/>
        <v>0.10930828351836032</v>
      </c>
      <c r="G134" s="40"/>
      <c r="J134" s="9">
        <v>17.88</v>
      </c>
      <c r="K134" s="9">
        <f t="shared" si="13"/>
        <v>25.031999999999996</v>
      </c>
      <c r="L134" s="16">
        <f t="shared" si="14"/>
        <v>1.0757430488974116</v>
      </c>
    </row>
    <row r="135" spans="1:12">
      <c r="A135" s="1" t="s">
        <v>3608</v>
      </c>
      <c r="B135" s="7">
        <v>48.29</v>
      </c>
      <c r="C135" s="9">
        <v>50.04</v>
      </c>
      <c r="D135" s="16">
        <f t="shared" si="11"/>
        <v>3.6239387036653553E-2</v>
      </c>
      <c r="E135" s="9">
        <v>46.84</v>
      </c>
      <c r="F135" s="16">
        <f t="shared" si="12"/>
        <v>6.8317677198975135E-2</v>
      </c>
      <c r="G135" s="40"/>
      <c r="J135" s="9">
        <v>17.88</v>
      </c>
      <c r="K135" s="9">
        <f t="shared" si="13"/>
        <v>25.031999999999996</v>
      </c>
      <c r="L135" s="16">
        <f t="shared" si="14"/>
        <v>0.9990412272291469</v>
      </c>
    </row>
    <row r="136" spans="1:12">
      <c r="A136" s="1" t="s">
        <v>3576</v>
      </c>
      <c r="B136" s="7">
        <v>53.88</v>
      </c>
      <c r="C136" s="9">
        <v>55.63</v>
      </c>
      <c r="D136" s="16">
        <f t="shared" si="11"/>
        <v>3.2479584261321456E-2</v>
      </c>
      <c r="E136" s="9">
        <v>46.84</v>
      </c>
      <c r="F136" s="16">
        <f t="shared" si="12"/>
        <v>0.18766011955593506</v>
      </c>
      <c r="G136" s="40"/>
      <c r="J136" s="9">
        <v>17.88</v>
      </c>
      <c r="K136" s="9">
        <f t="shared" si="13"/>
        <v>25.031999999999996</v>
      </c>
      <c r="L136" s="16">
        <f t="shared" si="14"/>
        <v>1.2223553851070634</v>
      </c>
    </row>
    <row r="137" spans="1:12">
      <c r="A137" s="1" t="s">
        <v>3609</v>
      </c>
      <c r="B137" s="7">
        <v>49.99</v>
      </c>
      <c r="C137" s="9">
        <v>51.74</v>
      </c>
      <c r="D137" s="16">
        <f t="shared" si="11"/>
        <v>3.5007001400280055E-2</v>
      </c>
      <c r="E137" s="9">
        <v>46.84</v>
      </c>
      <c r="F137" s="16">
        <f t="shared" si="12"/>
        <v>0.10461144321093079</v>
      </c>
      <c r="G137" s="40"/>
      <c r="J137" s="9">
        <v>17.88</v>
      </c>
      <c r="K137" s="9">
        <f t="shared" si="13"/>
        <v>25.031999999999996</v>
      </c>
      <c r="L137" s="16">
        <f t="shared" si="14"/>
        <v>1.066954298497923</v>
      </c>
    </row>
    <row r="138" spans="1:12">
      <c r="A138" s="1" t="s">
        <v>3610</v>
      </c>
      <c r="B138" s="7">
        <v>48.07</v>
      </c>
      <c r="C138" s="9">
        <v>49.82</v>
      </c>
      <c r="D138" s="16">
        <f t="shared" si="11"/>
        <v>3.6405242354899107E-2</v>
      </c>
      <c r="E138" s="9">
        <v>46.84</v>
      </c>
      <c r="F138" s="16">
        <f t="shared" si="12"/>
        <v>6.3620836891545615E-2</v>
      </c>
      <c r="G138" s="40"/>
      <c r="J138" s="9">
        <v>17.88</v>
      </c>
      <c r="K138" s="9">
        <f t="shared" si="13"/>
        <v>25.031999999999996</v>
      </c>
      <c r="L138" s="16">
        <f t="shared" si="14"/>
        <v>0.99025247682965833</v>
      </c>
    </row>
    <row r="139" spans="1:12">
      <c r="A139" s="1" t="s">
        <v>3611</v>
      </c>
      <c r="B139" s="7">
        <v>49.66</v>
      </c>
      <c r="C139" s="9">
        <v>51.41</v>
      </c>
      <c r="D139" s="16">
        <f t="shared" si="11"/>
        <v>3.5239629480467181E-2</v>
      </c>
      <c r="E139" s="9">
        <v>46.84</v>
      </c>
      <c r="F139" s="16">
        <f t="shared" si="12"/>
        <v>9.7566182749786359E-2</v>
      </c>
      <c r="G139" s="40"/>
      <c r="J139" s="9">
        <v>17.88</v>
      </c>
      <c r="K139" s="9">
        <f t="shared" si="13"/>
        <v>25.031999999999996</v>
      </c>
      <c r="L139" s="16">
        <f t="shared" si="14"/>
        <v>1.0537711728986898</v>
      </c>
    </row>
    <row r="140" spans="1:12">
      <c r="A140" s="1" t="s">
        <v>3577</v>
      </c>
      <c r="B140" s="7">
        <v>52.15</v>
      </c>
      <c r="C140" s="9">
        <v>53.9</v>
      </c>
      <c r="D140" s="16">
        <f t="shared" si="11"/>
        <v>3.3557046979865772E-2</v>
      </c>
      <c r="E140" s="9">
        <v>46.84</v>
      </c>
      <c r="F140" s="16">
        <f t="shared" si="12"/>
        <v>0.15072587532023901</v>
      </c>
      <c r="G140" s="40"/>
      <c r="J140" s="9">
        <v>17.88</v>
      </c>
      <c r="K140" s="9">
        <f t="shared" si="13"/>
        <v>25.031999999999996</v>
      </c>
      <c r="L140" s="16">
        <f t="shared" si="14"/>
        <v>1.1532438478747207</v>
      </c>
    </row>
    <row r="141" spans="1:12">
      <c r="A141" s="1" t="s">
        <v>3579</v>
      </c>
      <c r="B141" s="7">
        <v>51.05</v>
      </c>
      <c r="C141" s="9">
        <v>52.8</v>
      </c>
      <c r="D141" s="16">
        <f t="shared" si="11"/>
        <v>3.4280117531831543E-2</v>
      </c>
      <c r="E141" s="9">
        <v>46.84</v>
      </c>
      <c r="F141" s="16">
        <f t="shared" si="12"/>
        <v>0.12724167378309123</v>
      </c>
      <c r="G141" s="40"/>
      <c r="J141" s="9">
        <v>17.88</v>
      </c>
      <c r="K141" s="9">
        <f t="shared" si="13"/>
        <v>25.031999999999996</v>
      </c>
      <c r="L141" s="16">
        <f t="shared" si="14"/>
        <v>1.1093000958772772</v>
      </c>
    </row>
    <row r="142" spans="1:12" ht="25.5">
      <c r="A142" s="1" t="s">
        <v>3602</v>
      </c>
      <c r="B142" s="5" t="s">
        <v>3534</v>
      </c>
      <c r="D142" s="16"/>
      <c r="G142" s="40"/>
      <c r="J142" s="9"/>
      <c r="K142" s="9">
        <f t="shared" si="13"/>
        <v>0</v>
      </c>
      <c r="L142" s="16"/>
    </row>
    <row r="143" spans="1:12" ht="25.5">
      <c r="A143" s="1" t="s">
        <v>3612</v>
      </c>
      <c r="B143" s="1"/>
      <c r="D143" s="16"/>
      <c r="G143" s="40"/>
      <c r="J143" s="9"/>
      <c r="K143" s="9">
        <f t="shared" si="13"/>
        <v>0</v>
      </c>
      <c r="L143" s="16"/>
    </row>
    <row r="144" spans="1:12">
      <c r="A144" s="1"/>
      <c r="B144" s="1"/>
      <c r="D144" s="16"/>
      <c r="G144" s="40"/>
      <c r="J144" s="9"/>
      <c r="K144" s="9">
        <f t="shared" si="13"/>
        <v>0</v>
      </c>
      <c r="L144" s="16"/>
    </row>
    <row r="145" spans="1:12" ht="25.5" customHeight="1">
      <c r="A145" s="2" t="s">
        <v>3613</v>
      </c>
      <c r="B145" s="142" t="s">
        <v>3510</v>
      </c>
      <c r="D145" s="16"/>
      <c r="G145" s="40"/>
      <c r="J145" s="9"/>
      <c r="K145" s="9">
        <f t="shared" si="13"/>
        <v>0</v>
      </c>
      <c r="L145" s="16"/>
    </row>
    <row r="146" spans="1:12" ht="25.5">
      <c r="A146" s="3" t="s">
        <v>3569</v>
      </c>
      <c r="B146" s="142"/>
      <c r="D146" s="16"/>
      <c r="G146" s="40"/>
      <c r="J146" s="9"/>
      <c r="K146" s="9">
        <f t="shared" si="13"/>
        <v>0</v>
      </c>
      <c r="L146" s="16"/>
    </row>
    <row r="147" spans="1:12">
      <c r="A147" s="1" t="s">
        <v>3573</v>
      </c>
      <c r="B147" s="7">
        <v>56.1</v>
      </c>
      <c r="C147" s="9">
        <v>57.85</v>
      </c>
      <c r="D147" s="16">
        <f t="shared" ref="D147:D160" si="15">(C147-B147)/B147</f>
        <v>3.1194295900178252E-2</v>
      </c>
      <c r="E147" s="9">
        <v>46.84</v>
      </c>
      <c r="F147" s="16">
        <f t="shared" ref="F147:F160" si="16">(C147-E147)/E147</f>
        <v>0.2350555081127241</v>
      </c>
      <c r="G147" s="40"/>
      <c r="J147" s="9">
        <v>17.88</v>
      </c>
      <c r="K147" s="9">
        <f t="shared" si="13"/>
        <v>25.031999999999996</v>
      </c>
      <c r="L147" s="16">
        <f>(C147-K147)/K147</f>
        <v>1.3110418664109944</v>
      </c>
    </row>
    <row r="148" spans="1:12">
      <c r="A148" s="1" t="s">
        <v>3605</v>
      </c>
      <c r="B148" s="7">
        <v>50.64</v>
      </c>
      <c r="C148" s="9">
        <v>52.39</v>
      </c>
      <c r="D148" s="16">
        <f t="shared" si="15"/>
        <v>3.4557661927330174E-2</v>
      </c>
      <c r="E148" s="9">
        <v>46.84</v>
      </c>
      <c r="F148" s="16">
        <f t="shared" si="16"/>
        <v>0.11848847139197261</v>
      </c>
      <c r="G148" s="40"/>
      <c r="J148" s="9">
        <v>17.88</v>
      </c>
      <c r="K148" s="9">
        <f t="shared" si="13"/>
        <v>25.031999999999996</v>
      </c>
      <c r="L148" s="16">
        <f t="shared" ref="L148:L160" si="17">(C148-K148)/K148</f>
        <v>1.0929210610418667</v>
      </c>
    </row>
    <row r="149" spans="1:12">
      <c r="A149" s="1" t="s">
        <v>3606</v>
      </c>
      <c r="B149" s="7">
        <v>48.72</v>
      </c>
      <c r="C149" s="9">
        <v>50.47</v>
      </c>
      <c r="D149" s="16">
        <f t="shared" si="15"/>
        <v>3.5919540229885055E-2</v>
      </c>
      <c r="E149" s="9">
        <v>46.84</v>
      </c>
      <c r="F149" s="16">
        <f t="shared" si="16"/>
        <v>7.7497865072587435E-2</v>
      </c>
      <c r="G149" s="40"/>
      <c r="J149" s="9">
        <v>17.88</v>
      </c>
      <c r="K149" s="9">
        <f t="shared" si="13"/>
        <v>25.031999999999996</v>
      </c>
      <c r="L149" s="16">
        <f t="shared" si="17"/>
        <v>1.016219239373602</v>
      </c>
    </row>
    <row r="150" spans="1:12">
      <c r="A150" s="1" t="s">
        <v>3575</v>
      </c>
      <c r="B150" s="7">
        <v>54.56</v>
      </c>
      <c r="C150" s="9">
        <v>56.31</v>
      </c>
      <c r="D150" s="16">
        <f t="shared" si="15"/>
        <v>3.2074780058651026E-2</v>
      </c>
      <c r="E150" s="9">
        <v>46.84</v>
      </c>
      <c r="F150" s="16">
        <f t="shared" si="16"/>
        <v>0.20217762596071728</v>
      </c>
      <c r="G150" s="40"/>
      <c r="J150" s="9">
        <v>17.88</v>
      </c>
      <c r="K150" s="9">
        <f t="shared" si="13"/>
        <v>25.031999999999996</v>
      </c>
      <c r="L150" s="16">
        <f t="shared" si="17"/>
        <v>1.2495206136145738</v>
      </c>
    </row>
    <row r="151" spans="1:12">
      <c r="A151" s="1" t="s">
        <v>3607</v>
      </c>
      <c r="B151" s="7">
        <v>50.43</v>
      </c>
      <c r="C151" s="9">
        <v>52.18</v>
      </c>
      <c r="D151" s="16">
        <f t="shared" si="15"/>
        <v>3.4701566527860397E-2</v>
      </c>
      <c r="E151" s="9">
        <v>46.84</v>
      </c>
      <c r="F151" s="16">
        <f t="shared" si="16"/>
        <v>0.11400512382578984</v>
      </c>
      <c r="G151" s="40"/>
      <c r="J151" s="9">
        <v>17.88</v>
      </c>
      <c r="K151" s="9">
        <f t="shared" si="13"/>
        <v>25.031999999999996</v>
      </c>
      <c r="L151" s="16">
        <f t="shared" si="17"/>
        <v>1.0845317992969004</v>
      </c>
    </row>
    <row r="152" spans="1:12">
      <c r="A152" s="1" t="s">
        <v>3608</v>
      </c>
      <c r="B152" s="7">
        <v>48.52</v>
      </c>
      <c r="C152" s="9">
        <v>50.27</v>
      </c>
      <c r="D152" s="16">
        <f t="shared" si="15"/>
        <v>3.6067600989282765E-2</v>
      </c>
      <c r="E152" s="9">
        <v>46.84</v>
      </c>
      <c r="F152" s="16">
        <f t="shared" si="16"/>
        <v>7.3228010247651562E-2</v>
      </c>
      <c r="G152" s="40"/>
      <c r="J152" s="9">
        <v>17.88</v>
      </c>
      <c r="K152" s="9">
        <f t="shared" si="13"/>
        <v>25.031999999999996</v>
      </c>
      <c r="L152" s="16">
        <f t="shared" si="17"/>
        <v>1.0082294662831579</v>
      </c>
    </row>
    <row r="153" spans="1:12">
      <c r="A153" s="1" t="s">
        <v>3576</v>
      </c>
      <c r="B153" s="7">
        <v>53.11</v>
      </c>
      <c r="C153" s="9">
        <v>54.86</v>
      </c>
      <c r="D153" s="16">
        <f t="shared" si="15"/>
        <v>3.2950480135567693E-2</v>
      </c>
      <c r="E153" s="9">
        <v>46.84</v>
      </c>
      <c r="F153" s="16">
        <f t="shared" si="16"/>
        <v>0.1712211784799316</v>
      </c>
      <c r="G153" s="40"/>
      <c r="J153" s="9">
        <v>17.88</v>
      </c>
      <c r="K153" s="9">
        <f t="shared" si="13"/>
        <v>25.031999999999996</v>
      </c>
      <c r="L153" s="16">
        <f t="shared" si="17"/>
        <v>1.1915947587088529</v>
      </c>
    </row>
    <row r="154" spans="1:12">
      <c r="A154" s="1" t="s">
        <v>3609</v>
      </c>
      <c r="B154" s="7">
        <v>50.21</v>
      </c>
      <c r="C154" s="9">
        <v>51.96</v>
      </c>
      <c r="D154" s="16">
        <f t="shared" si="15"/>
        <v>3.4853614817765388E-2</v>
      </c>
      <c r="E154" s="9">
        <v>46.84</v>
      </c>
      <c r="F154" s="16">
        <f t="shared" si="16"/>
        <v>0.10930828351836032</v>
      </c>
      <c r="G154" s="40"/>
      <c r="J154" s="9">
        <v>17.88</v>
      </c>
      <c r="K154" s="9">
        <f t="shared" si="13"/>
        <v>25.031999999999996</v>
      </c>
      <c r="L154" s="16">
        <f t="shared" si="17"/>
        <v>1.0757430488974116</v>
      </c>
    </row>
    <row r="155" spans="1:12">
      <c r="A155" s="1" t="s">
        <v>3610</v>
      </c>
      <c r="B155" s="7">
        <v>48.29</v>
      </c>
      <c r="C155" s="9">
        <v>50.04</v>
      </c>
      <c r="D155" s="16">
        <f t="shared" si="15"/>
        <v>3.6239387036653553E-2</v>
      </c>
      <c r="E155" s="9">
        <v>46.84</v>
      </c>
      <c r="F155" s="16">
        <f t="shared" si="16"/>
        <v>6.8317677198975135E-2</v>
      </c>
      <c r="G155" s="40"/>
      <c r="J155" s="9">
        <v>17.88</v>
      </c>
      <c r="K155" s="9">
        <f t="shared" si="13"/>
        <v>25.031999999999996</v>
      </c>
      <c r="L155" s="16">
        <f t="shared" si="17"/>
        <v>0.9990412272291469</v>
      </c>
    </row>
    <row r="156" spans="1:12">
      <c r="A156" s="1" t="s">
        <v>3577</v>
      </c>
      <c r="B156" s="7">
        <v>51.6</v>
      </c>
      <c r="C156" s="9">
        <v>53.35</v>
      </c>
      <c r="D156" s="16">
        <f t="shared" si="15"/>
        <v>3.391472868217054E-2</v>
      </c>
      <c r="E156" s="9">
        <v>46.84</v>
      </c>
      <c r="F156" s="16">
        <f t="shared" si="16"/>
        <v>0.13898377455166519</v>
      </c>
      <c r="G156" s="40"/>
      <c r="J156" s="9">
        <v>17.88</v>
      </c>
      <c r="K156" s="9">
        <f t="shared" si="13"/>
        <v>25.031999999999996</v>
      </c>
      <c r="L156" s="16">
        <f t="shared" si="17"/>
        <v>1.1312719718759991</v>
      </c>
    </row>
    <row r="157" spans="1:12">
      <c r="A157" s="1" t="s">
        <v>3579</v>
      </c>
      <c r="B157" s="7">
        <v>50.49</v>
      </c>
      <c r="C157" s="9">
        <v>52.24</v>
      </c>
      <c r="D157" s="16">
        <f t="shared" si="15"/>
        <v>3.4660328777975834E-2</v>
      </c>
      <c r="E157" s="9">
        <v>46.84</v>
      </c>
      <c r="F157" s="16">
        <f t="shared" si="16"/>
        <v>0.11528608027327067</v>
      </c>
      <c r="G157" s="40"/>
      <c r="J157" s="9">
        <v>17.88</v>
      </c>
      <c r="K157" s="9">
        <f t="shared" si="13"/>
        <v>25.031999999999996</v>
      </c>
      <c r="L157" s="16">
        <f t="shared" si="17"/>
        <v>1.0869287312240337</v>
      </c>
    </row>
    <row r="158" spans="1:12">
      <c r="A158" s="1" t="s">
        <v>3580</v>
      </c>
      <c r="B158" s="7">
        <v>49.38</v>
      </c>
      <c r="C158" s="9">
        <v>51.13</v>
      </c>
      <c r="D158" s="16">
        <f t="shared" si="15"/>
        <v>3.5439449169704332E-2</v>
      </c>
      <c r="E158" s="9">
        <v>46.84</v>
      </c>
      <c r="F158" s="16">
        <f t="shared" si="16"/>
        <v>9.1588385994876148E-2</v>
      </c>
      <c r="G158" s="40"/>
      <c r="J158" s="9">
        <v>17.88</v>
      </c>
      <c r="K158" s="9">
        <f t="shared" si="13"/>
        <v>25.031999999999996</v>
      </c>
      <c r="L158" s="16">
        <f t="shared" si="17"/>
        <v>1.0425854905720682</v>
      </c>
    </row>
    <row r="159" spans="1:12">
      <c r="A159" s="1" t="s">
        <v>3593</v>
      </c>
      <c r="B159" s="7">
        <v>48.42</v>
      </c>
      <c r="C159" s="9">
        <v>50.17</v>
      </c>
      <c r="D159" s="16">
        <f t="shared" si="15"/>
        <v>3.6142090045435768E-2</v>
      </c>
      <c r="E159" s="9">
        <v>46.84</v>
      </c>
      <c r="F159" s="16">
        <f t="shared" si="16"/>
        <v>7.1093082835183563E-2</v>
      </c>
      <c r="G159" s="40"/>
      <c r="J159" s="9">
        <v>17.88</v>
      </c>
      <c r="K159" s="9">
        <f t="shared" si="13"/>
        <v>25.031999999999996</v>
      </c>
      <c r="L159" s="16">
        <f t="shared" si="17"/>
        <v>1.0042345797379357</v>
      </c>
    </row>
    <row r="160" spans="1:12">
      <c r="A160" s="1" t="s">
        <v>3594</v>
      </c>
      <c r="B160" s="7">
        <v>47.46</v>
      </c>
      <c r="C160" s="9">
        <v>49.21</v>
      </c>
      <c r="D160" s="16">
        <f t="shared" si="15"/>
        <v>3.687315634218289E-2</v>
      </c>
      <c r="E160" s="9">
        <v>46.84</v>
      </c>
      <c r="F160" s="16">
        <f t="shared" si="16"/>
        <v>5.0597779675490978E-2</v>
      </c>
      <c r="G160" s="40"/>
      <c r="J160" s="9">
        <v>17.88</v>
      </c>
      <c r="K160" s="9">
        <f t="shared" si="13"/>
        <v>25.031999999999996</v>
      </c>
      <c r="L160" s="16">
        <f t="shared" si="17"/>
        <v>0.96588366890380339</v>
      </c>
    </row>
    <row r="161" spans="1:12" ht="25.5">
      <c r="A161" s="1" t="s">
        <v>3614</v>
      </c>
      <c r="B161" s="5" t="s">
        <v>3534</v>
      </c>
      <c r="D161" s="16"/>
      <c r="G161" s="40"/>
      <c r="J161" s="9"/>
      <c r="K161" s="9">
        <f t="shared" si="13"/>
        <v>0</v>
      </c>
      <c r="L161" s="16"/>
    </row>
    <row r="162" spans="1:12" ht="25.5">
      <c r="A162" s="1" t="s">
        <v>3615</v>
      </c>
      <c r="B162" s="5" t="s">
        <v>3534</v>
      </c>
      <c r="D162" s="16"/>
      <c r="G162" s="40"/>
      <c r="J162" s="9"/>
      <c r="K162" s="9">
        <f t="shared" si="13"/>
        <v>0</v>
      </c>
      <c r="L162" s="16"/>
    </row>
    <row r="163" spans="1:12">
      <c r="A163" s="143"/>
      <c r="B163" s="143"/>
      <c r="D163" s="16"/>
      <c r="G163" s="40"/>
      <c r="J163" s="9"/>
      <c r="K163" s="9">
        <f t="shared" si="13"/>
        <v>0</v>
      </c>
      <c r="L163" s="16"/>
    </row>
    <row r="164" spans="1:12" ht="12.75" customHeight="1">
      <c r="A164" s="144" t="s">
        <v>3616</v>
      </c>
      <c r="B164" s="144"/>
      <c r="D164" s="16"/>
      <c r="G164" s="23" t="s">
        <v>3983</v>
      </c>
      <c r="H164" s="43">
        <f>AVERAGE(F165:F172)</f>
        <v>4.9875117077739645E-2</v>
      </c>
      <c r="I164" s="8"/>
      <c r="J164" s="44"/>
      <c r="K164" s="9">
        <f t="shared" si="13"/>
        <v>0</v>
      </c>
      <c r="L164" s="43"/>
    </row>
    <row r="165" spans="1:12">
      <c r="A165" s="1" t="s">
        <v>3617</v>
      </c>
      <c r="B165" s="7">
        <v>32.74</v>
      </c>
      <c r="C165" s="7">
        <v>32.74</v>
      </c>
      <c r="D165" s="16">
        <f t="shared" ref="D165:D172" si="18">(C165-B165)/B165</f>
        <v>0</v>
      </c>
      <c r="E165" s="9">
        <v>32.03</v>
      </c>
      <c r="F165" s="16">
        <f t="shared" ref="F165:F172" si="19">(C165-E165)/E165</f>
        <v>2.2166718701217634E-2</v>
      </c>
      <c r="G165" s="40"/>
      <c r="J165" s="9">
        <v>15.03</v>
      </c>
      <c r="K165" s="9">
        <f t="shared" si="13"/>
        <v>21.041999999999998</v>
      </c>
      <c r="L165" s="16">
        <f>(C165-K165)/K165</f>
        <v>0.55593574755251429</v>
      </c>
    </row>
    <row r="166" spans="1:12">
      <c r="A166" s="1" t="s">
        <v>3618</v>
      </c>
      <c r="B166" s="7">
        <v>33.590000000000003</v>
      </c>
      <c r="C166" s="7">
        <v>33.590000000000003</v>
      </c>
      <c r="D166" s="16">
        <f t="shared" si="18"/>
        <v>0</v>
      </c>
      <c r="E166" s="9">
        <v>32.03</v>
      </c>
      <c r="F166" s="16">
        <f t="shared" si="19"/>
        <v>4.8704339681548615E-2</v>
      </c>
      <c r="G166" s="40"/>
      <c r="J166" s="9">
        <v>15.03</v>
      </c>
      <c r="K166" s="9">
        <f t="shared" si="13"/>
        <v>21.041999999999998</v>
      </c>
      <c r="L166" s="16">
        <f t="shared" ref="L166:L172" si="20">(C166-K166)/K166</f>
        <v>0.5963311472293511</v>
      </c>
    </row>
    <row r="167" spans="1:12">
      <c r="A167" s="1" t="s">
        <v>3619</v>
      </c>
      <c r="B167" s="7">
        <v>33.24</v>
      </c>
      <c r="C167" s="7">
        <v>33.24</v>
      </c>
      <c r="D167" s="16">
        <f t="shared" si="18"/>
        <v>0</v>
      </c>
      <c r="E167" s="9">
        <v>32.03</v>
      </c>
      <c r="F167" s="16">
        <f t="shared" si="19"/>
        <v>3.7777083983765246E-2</v>
      </c>
      <c r="G167" s="40"/>
      <c r="J167" s="9">
        <v>15.03</v>
      </c>
      <c r="K167" s="9">
        <f t="shared" si="13"/>
        <v>21.041999999999998</v>
      </c>
      <c r="L167" s="16">
        <f t="shared" si="20"/>
        <v>0.5796977473624183</v>
      </c>
    </row>
    <row r="168" spans="1:12">
      <c r="A168" s="1" t="s">
        <v>3620</v>
      </c>
      <c r="B168" s="7">
        <v>33.74</v>
      </c>
      <c r="C168" s="7">
        <v>33.74</v>
      </c>
      <c r="D168" s="16">
        <f t="shared" si="18"/>
        <v>0</v>
      </c>
      <c r="E168" s="9">
        <v>32.03</v>
      </c>
      <c r="F168" s="16">
        <f t="shared" si="19"/>
        <v>5.3387449266312857E-2</v>
      </c>
      <c r="G168" s="40"/>
      <c r="J168" s="9">
        <v>15.03</v>
      </c>
      <c r="K168" s="9">
        <f t="shared" si="13"/>
        <v>21.041999999999998</v>
      </c>
      <c r="L168" s="16">
        <f t="shared" si="20"/>
        <v>0.60345974717232231</v>
      </c>
    </row>
    <row r="169" spans="1:12">
      <c r="A169" s="1" t="s">
        <v>3621</v>
      </c>
      <c r="B169" s="7">
        <v>34.74</v>
      </c>
      <c r="C169" s="7">
        <v>34.74</v>
      </c>
      <c r="D169" s="16">
        <f t="shared" si="18"/>
        <v>0</v>
      </c>
      <c r="E169" s="9">
        <v>32.03</v>
      </c>
      <c r="F169" s="16">
        <f t="shared" si="19"/>
        <v>8.4608179831408073E-2</v>
      </c>
      <c r="G169" s="40"/>
      <c r="J169" s="9">
        <v>15.03</v>
      </c>
      <c r="K169" s="9">
        <f t="shared" si="13"/>
        <v>21.041999999999998</v>
      </c>
      <c r="L169" s="16">
        <f t="shared" si="20"/>
        <v>0.65098374679213022</v>
      </c>
    </row>
    <row r="170" spans="1:12" ht="25.5">
      <c r="A170" s="1" t="s">
        <v>3622</v>
      </c>
      <c r="B170" s="7">
        <v>33.24</v>
      </c>
      <c r="C170" s="7">
        <v>33.24</v>
      </c>
      <c r="D170" s="16">
        <f t="shared" si="18"/>
        <v>0</v>
      </c>
      <c r="E170" s="9">
        <v>32.03</v>
      </c>
      <c r="F170" s="16">
        <f t="shared" si="19"/>
        <v>3.7777083983765246E-2</v>
      </c>
      <c r="G170" s="40"/>
      <c r="J170" s="9">
        <v>15.03</v>
      </c>
      <c r="K170" s="9">
        <f t="shared" si="13"/>
        <v>21.041999999999998</v>
      </c>
      <c r="L170" s="16">
        <f t="shared" si="20"/>
        <v>0.5796977473624183</v>
      </c>
    </row>
    <row r="171" spans="1:12" ht="25.5">
      <c r="A171" s="1" t="s">
        <v>3623</v>
      </c>
      <c r="B171" s="7">
        <v>33.74</v>
      </c>
      <c r="C171" s="7">
        <v>33.74</v>
      </c>
      <c r="D171" s="16">
        <f t="shared" si="18"/>
        <v>0</v>
      </c>
      <c r="E171" s="9">
        <v>32.03</v>
      </c>
      <c r="F171" s="16">
        <f t="shared" si="19"/>
        <v>5.3387449266312857E-2</v>
      </c>
      <c r="G171" s="40"/>
      <c r="J171" s="9">
        <v>15.03</v>
      </c>
      <c r="K171" s="9">
        <f t="shared" si="13"/>
        <v>21.041999999999998</v>
      </c>
      <c r="L171" s="16">
        <f t="shared" si="20"/>
        <v>0.60345974717232231</v>
      </c>
    </row>
    <row r="172" spans="1:12" ht="25.5">
      <c r="A172" s="1" t="s">
        <v>3624</v>
      </c>
      <c r="B172" s="7">
        <v>33.99</v>
      </c>
      <c r="C172" s="7">
        <v>33.99</v>
      </c>
      <c r="D172" s="16">
        <f t="shared" si="18"/>
        <v>0</v>
      </c>
      <c r="E172" s="9">
        <v>32.03</v>
      </c>
      <c r="F172" s="16">
        <f t="shared" si="19"/>
        <v>6.1192631907586663E-2</v>
      </c>
      <c r="G172" s="40"/>
      <c r="J172" s="9">
        <v>15.03</v>
      </c>
      <c r="K172" s="9">
        <f t="shared" si="13"/>
        <v>21.041999999999998</v>
      </c>
      <c r="L172" s="16">
        <f t="shared" si="20"/>
        <v>0.61534074707727426</v>
      </c>
    </row>
    <row r="173" spans="1:12" ht="63.75">
      <c r="A173" s="1" t="s">
        <v>3601</v>
      </c>
      <c r="B173" s="1" t="s">
        <v>3625</v>
      </c>
      <c r="D173" s="16"/>
      <c r="G173" s="40"/>
      <c r="J173" s="9"/>
      <c r="K173" s="9">
        <f t="shared" si="13"/>
        <v>0</v>
      </c>
      <c r="L173" s="16"/>
    </row>
    <row r="174" spans="1:12">
      <c r="A174" s="143"/>
      <c r="B174" s="143"/>
      <c r="D174" s="16"/>
      <c r="G174" s="40"/>
      <c r="J174" s="9"/>
      <c r="K174" s="9">
        <f t="shared" si="13"/>
        <v>0</v>
      </c>
      <c r="L174" s="16"/>
    </row>
    <row r="175" spans="1:12" ht="51">
      <c r="A175" s="2" t="s">
        <v>3626</v>
      </c>
      <c r="B175" s="1"/>
      <c r="C175" s="1" t="s">
        <v>3489</v>
      </c>
      <c r="D175" s="16"/>
      <c r="G175" s="23" t="s">
        <v>3983</v>
      </c>
      <c r="J175" s="9"/>
      <c r="K175" s="9">
        <f t="shared" si="13"/>
        <v>0</v>
      </c>
      <c r="L175" s="16"/>
    </row>
    <row r="176" spans="1:12">
      <c r="A176" s="1" t="s">
        <v>3627</v>
      </c>
      <c r="B176" s="7">
        <v>58.47</v>
      </c>
      <c r="C176" s="7">
        <v>58.47</v>
      </c>
      <c r="D176" s="16">
        <f>(C176-B176)/B176</f>
        <v>0</v>
      </c>
      <c r="G176" s="40"/>
      <c r="J176" s="9"/>
      <c r="K176" s="9">
        <f t="shared" si="13"/>
        <v>0</v>
      </c>
      <c r="L176" s="16"/>
    </row>
    <row r="177" spans="1:12">
      <c r="A177" s="1" t="s">
        <v>3628</v>
      </c>
      <c r="B177" s="7">
        <v>62.05</v>
      </c>
      <c r="C177" s="7">
        <v>62.05</v>
      </c>
      <c r="D177" s="16">
        <f>(C177-B177)/B177</f>
        <v>0</v>
      </c>
      <c r="G177" s="40"/>
      <c r="J177" s="9"/>
      <c r="K177" s="9">
        <f t="shared" si="13"/>
        <v>0</v>
      </c>
      <c r="L177" s="16"/>
    </row>
    <row r="178" spans="1:12">
      <c r="A178" s="143"/>
      <c r="B178" s="143"/>
      <c r="D178" s="16"/>
      <c r="G178" s="40"/>
      <c r="J178" s="9"/>
      <c r="K178" s="9">
        <f t="shared" si="13"/>
        <v>0</v>
      </c>
      <c r="L178" s="16"/>
    </row>
    <row r="179" spans="1:12" ht="25.5">
      <c r="A179" s="2" t="s">
        <v>3629</v>
      </c>
      <c r="B179" s="3" t="s">
        <v>3510</v>
      </c>
      <c r="C179" t="s">
        <v>3480</v>
      </c>
      <c r="D179" s="16"/>
      <c r="G179" s="23" t="s">
        <v>3983</v>
      </c>
      <c r="H179" s="43">
        <f>AVERAGE(F180:F181)</f>
        <v>1.7143666761122243E-2</v>
      </c>
      <c r="I179" s="8"/>
      <c r="J179" s="44"/>
      <c r="K179" s="9">
        <f t="shared" si="13"/>
        <v>0</v>
      </c>
      <c r="L179" s="43"/>
    </row>
    <row r="180" spans="1:12">
      <c r="A180" s="1" t="s">
        <v>3630</v>
      </c>
      <c r="B180" s="7">
        <v>34.270000000000003</v>
      </c>
      <c r="C180" s="9">
        <v>34.770000000000003</v>
      </c>
      <c r="D180" s="16">
        <f>(C180-B180)/B180</f>
        <v>1.4590020426028595E-2</v>
      </c>
      <c r="E180" s="9">
        <v>35.29</v>
      </c>
      <c r="F180" s="16">
        <f>(C180-E180)/E180</f>
        <v>-1.4735052422782545E-2</v>
      </c>
      <c r="G180" s="40"/>
      <c r="J180" s="9"/>
      <c r="K180" s="9">
        <f t="shared" si="13"/>
        <v>0</v>
      </c>
      <c r="L180" s="16"/>
    </row>
    <row r="181" spans="1:12">
      <c r="A181" s="1" t="s">
        <v>3631</v>
      </c>
      <c r="B181" s="7">
        <v>35.590000000000003</v>
      </c>
      <c r="C181" s="9">
        <v>37.020000000000003</v>
      </c>
      <c r="D181" s="16">
        <f>(C181-B181)/B181</f>
        <v>4.017982579376228E-2</v>
      </c>
      <c r="E181" s="9">
        <v>35.29</v>
      </c>
      <c r="F181" s="16">
        <f>(C181-E181)/E181</f>
        <v>4.9022385945027031E-2</v>
      </c>
      <c r="G181" s="40"/>
      <c r="J181" s="9"/>
      <c r="K181" s="9">
        <f t="shared" si="13"/>
        <v>0</v>
      </c>
      <c r="L181" s="16"/>
    </row>
    <row r="182" spans="1:12">
      <c r="A182" s="1"/>
      <c r="B182" s="1"/>
      <c r="D182" s="16"/>
      <c r="G182" s="40"/>
      <c r="J182" s="9"/>
      <c r="K182" s="9">
        <f t="shared" si="13"/>
        <v>0</v>
      </c>
      <c r="L182" s="16"/>
    </row>
    <row r="183" spans="1:12">
      <c r="A183" s="2" t="s">
        <v>3632</v>
      </c>
      <c r="B183" s="5" t="s">
        <v>3534</v>
      </c>
      <c r="D183" s="16"/>
      <c r="G183" s="23" t="s">
        <v>3983</v>
      </c>
      <c r="H183" s="43">
        <f>AVERAGE(F184:F186)</f>
        <v>0.18184049079754597</v>
      </c>
      <c r="I183" s="8"/>
      <c r="J183" s="44"/>
      <c r="K183" s="9">
        <f t="shared" si="13"/>
        <v>0</v>
      </c>
      <c r="L183" s="43"/>
    </row>
    <row r="184" spans="1:12">
      <c r="A184" s="1" t="s">
        <v>3633</v>
      </c>
      <c r="B184" s="7">
        <v>45.2</v>
      </c>
      <c r="C184" s="7">
        <v>45.2</v>
      </c>
      <c r="D184" s="16">
        <f>(C184-B184)/B184</f>
        <v>0</v>
      </c>
      <c r="E184" s="9">
        <v>40.75</v>
      </c>
      <c r="F184" s="16">
        <f>(C184-E184)/E184</f>
        <v>0.10920245398773012</v>
      </c>
      <c r="G184" s="40"/>
      <c r="J184" s="9">
        <v>29.66</v>
      </c>
      <c r="K184" s="9">
        <f t="shared" si="13"/>
        <v>41.524000000000001</v>
      </c>
      <c r="L184" s="16">
        <f>(C184-K184)/K184</f>
        <v>8.8527116848087894E-2</v>
      </c>
    </row>
    <row r="185" spans="1:12">
      <c r="A185" s="1" t="s">
        <v>3634</v>
      </c>
      <c r="B185" s="7">
        <v>48.16</v>
      </c>
      <c r="C185" s="7">
        <v>48.16</v>
      </c>
      <c r="D185" s="16">
        <f>(C185-B185)/B185</f>
        <v>0</v>
      </c>
      <c r="E185" s="9">
        <v>40.75</v>
      </c>
      <c r="F185" s="16">
        <f>(C185-E185)/E185</f>
        <v>0.18184049079754594</v>
      </c>
      <c r="G185" s="40"/>
      <c r="J185" s="9">
        <v>29.66</v>
      </c>
      <c r="K185" s="9">
        <f t="shared" si="13"/>
        <v>41.524000000000001</v>
      </c>
      <c r="L185" s="16">
        <f t="shared" ref="L185:L186" si="21">(C185-K185)/K185</f>
        <v>0.15981119352663509</v>
      </c>
    </row>
    <row r="186" spans="1:12">
      <c r="A186" s="1" t="s">
        <v>3635</v>
      </c>
      <c r="B186" s="7">
        <v>51.12</v>
      </c>
      <c r="C186" s="7">
        <v>51.12</v>
      </c>
      <c r="D186" s="16">
        <f>(C186-B186)/B186</f>
        <v>0</v>
      </c>
      <c r="E186" s="9">
        <v>40.75</v>
      </c>
      <c r="F186" s="16">
        <f>(C186-E186)/E186</f>
        <v>0.25447852760736189</v>
      </c>
      <c r="G186" s="40"/>
      <c r="J186" s="9">
        <v>29.66</v>
      </c>
      <c r="K186" s="9">
        <f t="shared" si="13"/>
        <v>41.524000000000001</v>
      </c>
      <c r="L186" s="16">
        <f t="shared" si="21"/>
        <v>0.23109527020518245</v>
      </c>
    </row>
    <row r="187" spans="1:12">
      <c r="A187" s="1"/>
      <c r="B187" s="1"/>
      <c r="D187" s="16"/>
      <c r="G187" s="40"/>
      <c r="J187" s="9"/>
      <c r="K187" s="9">
        <f t="shared" si="13"/>
        <v>0</v>
      </c>
      <c r="L187" s="16"/>
    </row>
    <row r="188" spans="1:12">
      <c r="A188" s="2" t="s">
        <v>3636</v>
      </c>
      <c r="B188" s="1"/>
      <c r="D188" s="16"/>
      <c r="G188" s="23" t="s">
        <v>3983</v>
      </c>
      <c r="H188" s="43">
        <f>AVERAGE(F189)</f>
        <v>4.5248868778280472E-2</v>
      </c>
      <c r="I188" s="8"/>
      <c r="J188" s="44"/>
      <c r="K188" s="9">
        <f t="shared" si="13"/>
        <v>0</v>
      </c>
      <c r="L188" s="43"/>
    </row>
    <row r="189" spans="1:12">
      <c r="A189" s="1" t="s">
        <v>3637</v>
      </c>
      <c r="B189" s="7">
        <v>30.92</v>
      </c>
      <c r="C189" s="7">
        <v>41.58</v>
      </c>
      <c r="D189" s="16">
        <f>(C189-B189)/B189</f>
        <v>0.34476067270375149</v>
      </c>
      <c r="E189" s="9">
        <v>39.78</v>
      </c>
      <c r="F189" s="16">
        <f>(C189-E189)/E189</f>
        <v>4.5248868778280472E-2</v>
      </c>
      <c r="G189" s="40"/>
      <c r="J189" s="9">
        <v>23.51</v>
      </c>
      <c r="K189" s="9">
        <f t="shared" si="13"/>
        <v>32.914000000000001</v>
      </c>
      <c r="L189" s="16">
        <f>(C189-K189)/K189</f>
        <v>0.26329221607826447</v>
      </c>
    </row>
    <row r="190" spans="1:12">
      <c r="A190" s="1"/>
      <c r="B190" s="1"/>
      <c r="D190" s="16"/>
      <c r="G190" s="40"/>
      <c r="J190" s="9"/>
      <c r="K190" s="9">
        <f t="shared" si="13"/>
        <v>0</v>
      </c>
      <c r="L190" s="16"/>
    </row>
    <row r="191" spans="1:12" ht="25.5">
      <c r="A191" s="2" t="s">
        <v>3638</v>
      </c>
      <c r="B191" s="5" t="s">
        <v>3534</v>
      </c>
      <c r="D191" s="16"/>
      <c r="G191" s="23" t="s">
        <v>3984</v>
      </c>
      <c r="H191" s="8"/>
      <c r="I191" s="43">
        <f>AVERAGE(F192)</f>
        <v>0</v>
      </c>
      <c r="J191" s="44"/>
      <c r="K191" s="9">
        <f t="shared" si="13"/>
        <v>0</v>
      </c>
      <c r="L191" s="43"/>
    </row>
    <row r="192" spans="1:12">
      <c r="A192" s="1" t="s">
        <v>3639</v>
      </c>
      <c r="B192" s="7">
        <v>18.88</v>
      </c>
      <c r="C192" s="9">
        <v>20.45</v>
      </c>
      <c r="D192" s="16">
        <f>(C192-B192)/B192</f>
        <v>8.3156779661016964E-2</v>
      </c>
      <c r="E192" s="9">
        <v>20.45</v>
      </c>
      <c r="F192" s="16">
        <f>(C192-E192)/E192</f>
        <v>0</v>
      </c>
      <c r="G192" s="40"/>
      <c r="J192" s="9">
        <v>25.31</v>
      </c>
      <c r="K192" s="9">
        <f t="shared" si="13"/>
        <v>35.433999999999997</v>
      </c>
      <c r="L192" s="16">
        <f>(C192-K192)/K192</f>
        <v>-0.4228706891685951</v>
      </c>
    </row>
    <row r="193" spans="1:12">
      <c r="A193" s="1"/>
      <c r="B193" s="1"/>
      <c r="D193" s="16"/>
      <c r="G193" s="40"/>
      <c r="J193" s="9"/>
      <c r="K193" s="9">
        <f t="shared" si="13"/>
        <v>0</v>
      </c>
      <c r="L193" s="16"/>
    </row>
    <row r="194" spans="1:12" ht="25.5">
      <c r="A194" s="2" t="s">
        <v>3640</v>
      </c>
      <c r="B194" s="3" t="s">
        <v>3510</v>
      </c>
      <c r="D194" s="16"/>
      <c r="G194" s="23" t="s">
        <v>3983</v>
      </c>
      <c r="H194" s="43">
        <f>AVERAGE(F195:F197)</f>
        <v>0.12211077191452251</v>
      </c>
      <c r="I194" s="8"/>
      <c r="J194" s="44"/>
      <c r="K194" s="9">
        <f t="shared" si="13"/>
        <v>0</v>
      </c>
      <c r="L194" s="43"/>
    </row>
    <row r="195" spans="1:12">
      <c r="A195" s="1" t="s">
        <v>3641</v>
      </c>
      <c r="B195" s="7">
        <v>46.6</v>
      </c>
      <c r="C195" s="9">
        <v>48.35</v>
      </c>
      <c r="D195" s="16">
        <f>(C195-B195)/B195</f>
        <v>3.7553648068669523E-2</v>
      </c>
      <c r="E195" s="9">
        <v>45.86</v>
      </c>
      <c r="F195" s="16">
        <f>(C195-E195)/E195</f>
        <v>5.4295682511993064E-2</v>
      </c>
      <c r="G195" s="40"/>
      <c r="J195" s="9">
        <v>35.729999999999997</v>
      </c>
      <c r="K195" s="9">
        <f t="shared" ref="K195:K225" si="22">J195*1.4</f>
        <v>50.021999999999991</v>
      </c>
      <c r="L195" s="16">
        <f>(C195-K195)/K195</f>
        <v>-3.3425292871136505E-2</v>
      </c>
    </row>
    <row r="196" spans="1:12">
      <c r="A196" s="1" t="s">
        <v>3642</v>
      </c>
      <c r="B196" s="7">
        <v>49.62</v>
      </c>
      <c r="C196" s="9">
        <v>51.46</v>
      </c>
      <c r="D196" s="16">
        <f>(C196-B196)/B196</f>
        <v>3.70818218460299E-2</v>
      </c>
      <c r="E196" s="9">
        <v>45.86</v>
      </c>
      <c r="F196" s="16">
        <f>(C196-E196)/E196</f>
        <v>0.12211077191452249</v>
      </c>
      <c r="G196" s="40"/>
      <c r="J196" s="9">
        <v>35.729999999999997</v>
      </c>
      <c r="K196" s="9">
        <f t="shared" si="22"/>
        <v>50.021999999999991</v>
      </c>
      <c r="L196" s="16">
        <f t="shared" ref="L196:L197" si="23">(C196-K196)/K196</f>
        <v>2.8747351165487382E-2</v>
      </c>
    </row>
    <row r="197" spans="1:12">
      <c r="A197" s="1" t="s">
        <v>3643</v>
      </c>
      <c r="B197" s="7">
        <v>52.64</v>
      </c>
      <c r="C197" s="9">
        <v>54.57</v>
      </c>
      <c r="D197" s="16">
        <f>(C197-B197)/B197</f>
        <v>3.666413373860182E-2</v>
      </c>
      <c r="E197" s="9">
        <v>45.86</v>
      </c>
      <c r="F197" s="16">
        <f>(C197-E197)/E197</f>
        <v>0.18992586131705191</v>
      </c>
      <c r="G197" s="40"/>
      <c r="J197" s="9">
        <v>35.729999999999997</v>
      </c>
      <c r="K197" s="9">
        <f t="shared" si="22"/>
        <v>50.021999999999991</v>
      </c>
      <c r="L197" s="16">
        <f t="shared" si="23"/>
        <v>9.0919995202111262E-2</v>
      </c>
    </row>
    <row r="198" spans="1:12">
      <c r="A198" s="1"/>
      <c r="B198" s="1"/>
      <c r="D198" s="16"/>
      <c r="G198" s="40"/>
      <c r="J198" s="9"/>
      <c r="K198" s="9">
        <f t="shared" si="22"/>
        <v>0</v>
      </c>
      <c r="L198" s="16"/>
    </row>
    <row r="199" spans="1:12">
      <c r="A199" s="2" t="s">
        <v>3644</v>
      </c>
      <c r="B199" s="1"/>
      <c r="D199" s="16"/>
      <c r="G199" s="23" t="s">
        <v>3983</v>
      </c>
      <c r="H199" s="43">
        <f>AVERAGE(F200:F202)</f>
        <v>3.2872503840245829E-2</v>
      </c>
      <c r="I199" s="8"/>
      <c r="J199" s="44"/>
      <c r="K199" s="9">
        <f t="shared" si="22"/>
        <v>0</v>
      </c>
      <c r="L199" s="43"/>
    </row>
    <row r="200" spans="1:12">
      <c r="A200" s="1" t="s">
        <v>3645</v>
      </c>
      <c r="B200" s="7">
        <v>34.520000000000003</v>
      </c>
      <c r="C200" s="9">
        <v>53.45</v>
      </c>
      <c r="D200" s="16">
        <f>(C200-B200)/B200</f>
        <v>0.54837775202780992</v>
      </c>
      <c r="E200" s="9">
        <v>54.25</v>
      </c>
      <c r="F200" s="16">
        <f>(C200-E200)/E200</f>
        <v>-1.4746543778801791E-2</v>
      </c>
      <c r="G200" s="40"/>
      <c r="J200" s="9"/>
      <c r="K200" s="9">
        <f t="shared" si="22"/>
        <v>0</v>
      </c>
      <c r="L200" s="16"/>
    </row>
    <row r="201" spans="1:12">
      <c r="A201" s="1" t="s">
        <v>3646</v>
      </c>
      <c r="B201" s="7">
        <v>34.520000000000003</v>
      </c>
      <c r="C201" s="9">
        <v>56.2</v>
      </c>
      <c r="D201" s="16">
        <f>(C201-B201)/B201</f>
        <v>0.62804171494785621</v>
      </c>
      <c r="E201" s="9">
        <v>54.25</v>
      </c>
      <c r="F201" s="16">
        <f>(C201-E201)/E201</f>
        <v>3.5944700460829544E-2</v>
      </c>
      <c r="G201" s="40"/>
      <c r="J201" s="9"/>
      <c r="K201" s="9">
        <f t="shared" si="22"/>
        <v>0</v>
      </c>
      <c r="L201" s="16"/>
    </row>
    <row r="202" spans="1:12" ht="25.5">
      <c r="A202" s="1" t="s">
        <v>3647</v>
      </c>
      <c r="B202" s="7">
        <v>34.520000000000003</v>
      </c>
      <c r="C202" s="9">
        <v>58.45</v>
      </c>
      <c r="D202" s="16">
        <f>(C202-B202)/B202</f>
        <v>0.69322132097334876</v>
      </c>
      <c r="E202" s="9">
        <v>54.25</v>
      </c>
      <c r="F202" s="16">
        <f>(C202-E202)/E202</f>
        <v>7.7419354838709736E-2</v>
      </c>
      <c r="G202" s="40"/>
      <c r="J202" s="9"/>
      <c r="K202" s="9">
        <f t="shared" si="22"/>
        <v>0</v>
      </c>
      <c r="L202" s="16"/>
    </row>
    <row r="203" spans="1:12">
      <c r="A203" s="1"/>
      <c r="B203" s="1"/>
      <c r="D203" s="16"/>
      <c r="G203" s="40"/>
      <c r="J203" s="9"/>
      <c r="K203" s="9">
        <f t="shared" si="22"/>
        <v>0</v>
      </c>
      <c r="L203" s="16"/>
    </row>
    <row r="204" spans="1:12" ht="63.75">
      <c r="A204" s="2" t="s">
        <v>3648</v>
      </c>
      <c r="B204" s="3" t="s">
        <v>3649</v>
      </c>
      <c r="D204" s="16"/>
      <c r="G204" s="23" t="s">
        <v>3983</v>
      </c>
      <c r="H204" s="43">
        <f>AVERAGE(F205)</f>
        <v>1.7008286088094224E-2</v>
      </c>
      <c r="I204" s="8"/>
      <c r="J204" s="44"/>
      <c r="K204" s="9">
        <f t="shared" si="22"/>
        <v>0</v>
      </c>
      <c r="L204" s="43"/>
    </row>
    <row r="205" spans="1:12">
      <c r="A205" s="1" t="s">
        <v>3650</v>
      </c>
      <c r="B205" s="7">
        <v>44.89</v>
      </c>
      <c r="C205" s="9">
        <v>46.64</v>
      </c>
      <c r="D205" s="16">
        <f>(C205-B205)/B205</f>
        <v>3.8984183559812875E-2</v>
      </c>
      <c r="E205" s="9">
        <v>45.86</v>
      </c>
      <c r="F205" s="16">
        <f>(C205-E205)/E205</f>
        <v>1.7008286088094224E-2</v>
      </c>
      <c r="G205" s="40"/>
      <c r="J205" s="9">
        <v>32.69</v>
      </c>
      <c r="K205" s="9">
        <f t="shared" si="22"/>
        <v>45.765999999999991</v>
      </c>
      <c r="L205" s="16">
        <f>(C205-K205)/K205</f>
        <v>1.9097146353188165E-2</v>
      </c>
    </row>
    <row r="206" spans="1:12">
      <c r="A206" s="1"/>
      <c r="B206" s="1"/>
      <c r="D206" s="16"/>
      <c r="G206" s="40"/>
      <c r="J206" s="9"/>
      <c r="K206" s="9">
        <f t="shared" si="22"/>
        <v>0</v>
      </c>
      <c r="L206" s="16"/>
    </row>
    <row r="207" spans="1:12">
      <c r="A207" s="2" t="s">
        <v>3651</v>
      </c>
      <c r="B207" s="5" t="s">
        <v>3534</v>
      </c>
      <c r="D207" s="16"/>
      <c r="G207" s="23" t="s">
        <v>3983</v>
      </c>
      <c r="H207" s="43">
        <f>AVERAGE(F208)</f>
        <v>1.227678571428565E-2</v>
      </c>
      <c r="I207" s="8"/>
      <c r="J207" s="44"/>
      <c r="K207" s="9">
        <f t="shared" si="22"/>
        <v>0</v>
      </c>
      <c r="L207" s="43"/>
    </row>
    <row r="208" spans="1:12">
      <c r="A208" s="1" t="s">
        <v>3652</v>
      </c>
      <c r="B208" s="7">
        <v>35.49</v>
      </c>
      <c r="C208" s="9">
        <v>36.28</v>
      </c>
      <c r="D208" s="16">
        <f>(C208-B208)/B208</f>
        <v>2.2259791490560697E-2</v>
      </c>
      <c r="E208" s="9">
        <v>35.840000000000003</v>
      </c>
      <c r="F208" s="16">
        <f>(C208-E208)/E208</f>
        <v>1.227678571428565E-2</v>
      </c>
      <c r="G208" s="40"/>
      <c r="J208" s="9"/>
      <c r="K208" s="9">
        <f t="shared" si="22"/>
        <v>0</v>
      </c>
      <c r="L208" s="16"/>
    </row>
    <row r="209" spans="1:12">
      <c r="A209" s="1"/>
      <c r="B209" s="1"/>
      <c r="D209" s="16"/>
      <c r="G209" s="40"/>
      <c r="J209" s="9"/>
      <c r="K209" s="9">
        <f t="shared" si="22"/>
        <v>0</v>
      </c>
      <c r="L209" s="16"/>
    </row>
    <row r="210" spans="1:12" ht="38.25">
      <c r="A210" s="2" t="s">
        <v>3653</v>
      </c>
      <c r="B210" s="3" t="s">
        <v>3510</v>
      </c>
      <c r="C210" s="9" t="s">
        <v>3480</v>
      </c>
      <c r="D210" s="16"/>
      <c r="G210" s="23" t="s">
        <v>3983</v>
      </c>
      <c r="H210" s="43">
        <f>AVERAGE(F211)</f>
        <v>1.0195758564437194E-2</v>
      </c>
      <c r="I210" s="8"/>
      <c r="J210" s="8"/>
      <c r="K210" s="9">
        <f t="shared" si="22"/>
        <v>0</v>
      </c>
      <c r="L210" s="43"/>
    </row>
    <row r="211" spans="1:12" ht="25.5">
      <c r="A211" s="1" t="s">
        <v>3654</v>
      </c>
      <c r="B211" s="7">
        <v>32.479999999999997</v>
      </c>
      <c r="C211" s="9">
        <v>24.77</v>
      </c>
      <c r="D211" s="16">
        <f>(C211-B211)/B211</f>
        <v>-0.23737684729064035</v>
      </c>
      <c r="E211" s="9">
        <v>24.52</v>
      </c>
      <c r="F211" s="16">
        <f>(C211-E211)/E211</f>
        <v>1.0195758564437194E-2</v>
      </c>
      <c r="G211" s="40"/>
      <c r="J211" s="9"/>
      <c r="K211" s="9">
        <f t="shared" si="22"/>
        <v>0</v>
      </c>
      <c r="L211" s="16"/>
    </row>
    <row r="212" spans="1:12">
      <c r="A212" s="1"/>
      <c r="B212" s="1"/>
      <c r="D212" s="16"/>
      <c r="G212" s="40"/>
      <c r="J212" s="9"/>
      <c r="K212" s="9">
        <f t="shared" si="22"/>
        <v>0</v>
      </c>
      <c r="L212" s="16"/>
    </row>
    <row r="213" spans="1:12" ht="25.5">
      <c r="A213" s="2" t="s">
        <v>3655</v>
      </c>
      <c r="B213" s="1"/>
      <c r="C213" s="9" t="s">
        <v>3480</v>
      </c>
      <c r="D213" s="16"/>
      <c r="G213" s="23" t="s">
        <v>3983</v>
      </c>
      <c r="H213" s="43">
        <f>AVERAGE(F214:F219)</f>
        <v>4.1518034086404983E-2</v>
      </c>
      <c r="I213" s="8"/>
      <c r="J213" s="8"/>
      <c r="K213" s="9">
        <f t="shared" si="22"/>
        <v>0</v>
      </c>
      <c r="L213" s="43"/>
    </row>
    <row r="214" spans="1:12">
      <c r="A214" s="1" t="s">
        <v>3656</v>
      </c>
      <c r="B214" s="7">
        <v>25</v>
      </c>
      <c r="C214" s="9">
        <v>32.869999999999997</v>
      </c>
      <c r="D214" s="16">
        <f t="shared" ref="D214:D219" si="24">(C214-B214)/B214</f>
        <v>0.31479999999999991</v>
      </c>
      <c r="E214" s="9">
        <v>33.64</v>
      </c>
      <c r="F214" s="16">
        <f t="shared" ref="F214:F219" si="25">(C214-E214)/E214</f>
        <v>-2.2889417360285467E-2</v>
      </c>
      <c r="G214" s="40"/>
      <c r="J214" s="9"/>
      <c r="K214" s="9">
        <f t="shared" si="22"/>
        <v>0</v>
      </c>
      <c r="L214" s="16"/>
    </row>
    <row r="215" spans="1:12">
      <c r="A215" s="1" t="s">
        <v>3657</v>
      </c>
      <c r="B215" s="7">
        <v>25</v>
      </c>
      <c r="C215" s="9">
        <v>34.119999999999997</v>
      </c>
      <c r="D215" s="16">
        <f t="shared" si="24"/>
        <v>0.3647999999999999</v>
      </c>
      <c r="E215" s="9">
        <v>33.64</v>
      </c>
      <c r="F215" s="16">
        <f t="shared" si="25"/>
        <v>1.4268727705112868E-2</v>
      </c>
      <c r="G215" s="40"/>
      <c r="J215" s="9"/>
      <c r="K215" s="9">
        <f t="shared" si="22"/>
        <v>0</v>
      </c>
      <c r="L215" s="16"/>
    </row>
    <row r="216" spans="1:12">
      <c r="A216" s="1" t="s">
        <v>3658</v>
      </c>
      <c r="B216" s="7">
        <v>25</v>
      </c>
      <c r="C216" s="9">
        <v>35.869999999999997</v>
      </c>
      <c r="D216" s="16">
        <f t="shared" si="24"/>
        <v>0.43479999999999991</v>
      </c>
      <c r="E216" s="9">
        <v>33.64</v>
      </c>
      <c r="F216" s="16">
        <f t="shared" si="25"/>
        <v>6.6290130796670538E-2</v>
      </c>
      <c r="G216" s="40"/>
      <c r="J216" s="9"/>
      <c r="K216" s="9">
        <f t="shared" si="22"/>
        <v>0</v>
      </c>
      <c r="L216" s="16"/>
    </row>
    <row r="217" spans="1:12" ht="25.5">
      <c r="A217" s="1" t="s">
        <v>3659</v>
      </c>
      <c r="B217" s="7">
        <v>25</v>
      </c>
      <c r="C217" s="9">
        <v>34.369999999999997</v>
      </c>
      <c r="D217" s="16">
        <f t="shared" si="24"/>
        <v>0.37479999999999991</v>
      </c>
      <c r="E217" s="9">
        <v>33.64</v>
      </c>
      <c r="F217" s="16">
        <f t="shared" si="25"/>
        <v>2.1700356718192534E-2</v>
      </c>
      <c r="G217" s="40"/>
      <c r="J217" s="9"/>
      <c r="K217" s="9">
        <f t="shared" si="22"/>
        <v>0</v>
      </c>
      <c r="L217" s="16"/>
    </row>
    <row r="218" spans="1:12" ht="25.5">
      <c r="A218" s="1" t="s">
        <v>3660</v>
      </c>
      <c r="B218" s="7">
        <v>25</v>
      </c>
      <c r="C218" s="9">
        <v>35.619999999999997</v>
      </c>
      <c r="D218" s="16">
        <f t="shared" si="24"/>
        <v>0.4247999999999999</v>
      </c>
      <c r="E218" s="9">
        <v>33.64</v>
      </c>
      <c r="F218" s="16">
        <f t="shared" si="25"/>
        <v>5.8858501783590866E-2</v>
      </c>
      <c r="G218" s="40"/>
      <c r="J218" s="9"/>
      <c r="K218" s="9">
        <f t="shared" si="22"/>
        <v>0</v>
      </c>
      <c r="L218" s="16"/>
    </row>
    <row r="219" spans="1:12" ht="25.5">
      <c r="A219" s="1" t="s">
        <v>3661</v>
      </c>
      <c r="B219" s="7">
        <v>25</v>
      </c>
      <c r="C219" s="9">
        <v>37.369999999999997</v>
      </c>
      <c r="D219" s="16">
        <f t="shared" si="24"/>
        <v>0.49479999999999991</v>
      </c>
      <c r="E219" s="9">
        <v>33.64</v>
      </c>
      <c r="F219" s="16">
        <f t="shared" si="25"/>
        <v>0.11087990487514854</v>
      </c>
      <c r="G219" s="40"/>
      <c r="J219" s="9"/>
      <c r="K219" s="9">
        <f t="shared" si="22"/>
        <v>0</v>
      </c>
      <c r="L219" s="16"/>
    </row>
    <row r="220" spans="1:12">
      <c r="A220" s="1"/>
      <c r="B220" s="1"/>
      <c r="D220" s="16"/>
      <c r="G220" s="40"/>
      <c r="J220" s="9"/>
      <c r="K220" s="9">
        <f t="shared" si="22"/>
        <v>0</v>
      </c>
      <c r="L220" s="16"/>
    </row>
    <row r="221" spans="1:12" ht="51">
      <c r="A221" s="2" t="s">
        <v>3662</v>
      </c>
      <c r="B221" s="3" t="s">
        <v>3547</v>
      </c>
      <c r="D221" s="16"/>
      <c r="G221" s="40"/>
      <c r="J221" s="9"/>
      <c r="K221" s="9">
        <f t="shared" si="22"/>
        <v>0</v>
      </c>
      <c r="L221" s="16"/>
    </row>
    <row r="222" spans="1:12">
      <c r="A222" s="1" t="s">
        <v>3663</v>
      </c>
      <c r="B222" s="7">
        <v>30.82</v>
      </c>
      <c r="C222" s="7">
        <v>30.82</v>
      </c>
      <c r="D222" s="16">
        <f>(C222-B222)/B222</f>
        <v>0</v>
      </c>
      <c r="G222" s="40"/>
      <c r="J222" s="9"/>
      <c r="K222" s="9">
        <f t="shared" si="22"/>
        <v>0</v>
      </c>
      <c r="L222" s="16"/>
    </row>
    <row r="223" spans="1:12">
      <c r="A223" s="143"/>
      <c r="B223" s="143"/>
      <c r="D223" s="16"/>
      <c r="G223" s="40"/>
      <c r="J223" s="9"/>
      <c r="K223" s="9">
        <f t="shared" si="22"/>
        <v>0</v>
      </c>
      <c r="L223" s="16"/>
    </row>
    <row r="224" spans="1:12">
      <c r="A224" s="2" t="s">
        <v>3664</v>
      </c>
      <c r="B224" s="1"/>
      <c r="C224" t="s">
        <v>3480</v>
      </c>
      <c r="D224" s="16"/>
      <c r="G224" s="23" t="s">
        <v>3984</v>
      </c>
      <c r="H224" s="43"/>
      <c r="I224" s="43">
        <f>AVERAGE(F225)</f>
        <v>0</v>
      </c>
      <c r="J224" s="44"/>
      <c r="K224" s="9">
        <f t="shared" si="22"/>
        <v>0</v>
      </c>
      <c r="L224" s="43"/>
    </row>
    <row r="225" spans="1:12">
      <c r="A225" s="1" t="s">
        <v>3665</v>
      </c>
      <c r="B225" s="7">
        <v>21.61</v>
      </c>
      <c r="C225" s="9">
        <v>20.8</v>
      </c>
      <c r="D225" s="16">
        <f>(C225-B225)/B225</f>
        <v>-3.7482646922720901E-2</v>
      </c>
      <c r="E225" s="9">
        <v>20.8</v>
      </c>
      <c r="F225" s="16">
        <f>(C225-E225)/E225</f>
        <v>0</v>
      </c>
      <c r="G225" s="40"/>
      <c r="J225" s="9">
        <v>16.27</v>
      </c>
      <c r="K225" s="9">
        <f t="shared" si="22"/>
        <v>22.777999999999999</v>
      </c>
      <c r="L225" s="16">
        <f>(C225-K225)/K225</f>
        <v>-8.683817718851515E-2</v>
      </c>
    </row>
    <row r="226" spans="1:12">
      <c r="A226" s="1"/>
      <c r="B226" s="1"/>
      <c r="D226" s="16"/>
      <c r="G226" s="40"/>
      <c r="J226" s="9"/>
      <c r="K226" s="9"/>
      <c r="L226" s="16"/>
    </row>
    <row r="227" spans="1:12">
      <c r="A227" s="2" t="s">
        <v>3666</v>
      </c>
      <c r="B227" s="1"/>
      <c r="C227" t="s">
        <v>3479</v>
      </c>
      <c r="D227" s="16"/>
      <c r="G227" s="23" t="s">
        <v>3984</v>
      </c>
      <c r="H227" s="8"/>
      <c r="I227" s="43">
        <f>AVERAGE(F228)</f>
        <v>0</v>
      </c>
      <c r="J227" s="44"/>
      <c r="K227" s="44"/>
      <c r="L227" s="43"/>
    </row>
    <row r="228" spans="1:12">
      <c r="A228" s="1" t="s">
        <v>3667</v>
      </c>
      <c r="B228" s="7">
        <v>21.32</v>
      </c>
      <c r="C228" s="9">
        <v>54.49</v>
      </c>
      <c r="D228" s="16">
        <f>(C228-B228)/B228</f>
        <v>1.5558161350844277</v>
      </c>
      <c r="E228" s="9">
        <v>54.49</v>
      </c>
      <c r="F228" s="16">
        <f>(C228-E228)/E228</f>
        <v>0</v>
      </c>
      <c r="G228" s="40"/>
      <c r="J228" s="9"/>
      <c r="K228" s="9"/>
      <c r="L228" s="16"/>
    </row>
    <row r="229" spans="1:12">
      <c r="A229" s="1"/>
      <c r="B229" s="1"/>
      <c r="D229" s="16"/>
      <c r="G229" s="40"/>
      <c r="J229" s="9"/>
      <c r="K229" s="9"/>
      <c r="L229" s="16"/>
    </row>
    <row r="230" spans="1:12" ht="63.75">
      <c r="A230" s="2" t="s">
        <v>3668</v>
      </c>
      <c r="B230" s="3" t="s">
        <v>3669</v>
      </c>
      <c r="D230" s="16"/>
      <c r="G230" s="23" t="s">
        <v>3983</v>
      </c>
      <c r="H230" s="43">
        <f>AVERAGE(F231)</f>
        <v>2.1562766865926515E-2</v>
      </c>
      <c r="I230" s="8"/>
      <c r="J230" s="44"/>
      <c r="K230" s="44"/>
      <c r="L230" s="43"/>
    </row>
    <row r="231" spans="1:12" ht="38.25">
      <c r="A231" s="1" t="s">
        <v>3670</v>
      </c>
      <c r="B231" s="7">
        <v>46.1</v>
      </c>
      <c r="C231" s="9">
        <v>47.85</v>
      </c>
      <c r="D231" s="16">
        <f>(C231-B231)/B231</f>
        <v>3.7960954446854663E-2</v>
      </c>
      <c r="E231" s="9">
        <v>46.84</v>
      </c>
      <c r="F231" s="16">
        <f>(C231-E231)/E231</f>
        <v>2.1562766865926515E-2</v>
      </c>
      <c r="G231" s="40"/>
      <c r="J231" s="9"/>
      <c r="K231" s="9"/>
      <c r="L231" s="16"/>
    </row>
    <row r="232" spans="1:12">
      <c r="A232" s="1"/>
      <c r="B232" s="1"/>
      <c r="D232" s="16"/>
      <c r="G232" s="40"/>
      <c r="J232" s="9"/>
      <c r="K232" s="9"/>
      <c r="L232" s="16"/>
    </row>
    <row r="233" spans="1:12">
      <c r="A233" s="2" t="s">
        <v>3671</v>
      </c>
      <c r="B233" s="1"/>
      <c r="C233" t="s">
        <v>3487</v>
      </c>
      <c r="D233" s="16"/>
      <c r="G233" s="23" t="s">
        <v>3983</v>
      </c>
      <c r="H233" s="43">
        <f>AVERAGE(F234)</f>
        <v>-2.9934847684451788E-3</v>
      </c>
      <c r="I233" s="8"/>
      <c r="J233" s="44"/>
      <c r="K233" s="44"/>
      <c r="L233" s="43"/>
    </row>
    <row r="234" spans="1:12">
      <c r="A234" s="1" t="s">
        <v>3672</v>
      </c>
      <c r="B234" s="7">
        <v>44.64</v>
      </c>
      <c r="C234" s="9">
        <v>56.62</v>
      </c>
      <c r="D234" s="16">
        <f>(C234-B234)/B234</f>
        <v>0.26836917562724005</v>
      </c>
      <c r="E234" s="9">
        <v>56.79</v>
      </c>
      <c r="F234" s="16">
        <f>(C234-E234)/E234</f>
        <v>-2.9934847684451788E-3</v>
      </c>
      <c r="G234" s="40"/>
      <c r="H234" s="16"/>
      <c r="J234" s="9"/>
      <c r="K234" s="9"/>
      <c r="L234" s="16"/>
    </row>
    <row r="235" spans="1:12">
      <c r="A235" s="1"/>
      <c r="B235" s="1"/>
      <c r="D235" s="16"/>
      <c r="G235" s="40"/>
      <c r="J235" s="9"/>
      <c r="K235" s="9"/>
      <c r="L235" s="16"/>
    </row>
    <row r="236" spans="1:12" ht="25.5">
      <c r="A236" s="2" t="s">
        <v>3673</v>
      </c>
      <c r="B236" s="1"/>
      <c r="C236" t="s">
        <v>3487</v>
      </c>
      <c r="D236" s="16"/>
      <c r="G236" s="23" t="s">
        <v>3983</v>
      </c>
      <c r="H236" s="43">
        <f>AVERAGE(F237)</f>
        <v>-2.9934847684451788E-3</v>
      </c>
      <c r="I236" s="8"/>
      <c r="J236" s="44"/>
      <c r="K236" s="44"/>
      <c r="L236" s="43"/>
    </row>
    <row r="237" spans="1:12">
      <c r="A237" s="1" t="s">
        <v>3674</v>
      </c>
      <c r="B237" s="7">
        <v>44.64</v>
      </c>
      <c r="C237" s="9">
        <v>56.62</v>
      </c>
      <c r="D237" s="16">
        <f>(C237-B237)/B237</f>
        <v>0.26836917562724005</v>
      </c>
      <c r="E237" s="9">
        <v>56.79</v>
      </c>
      <c r="F237" s="16">
        <f>(C234-E237)/E237</f>
        <v>-2.9934847684451788E-3</v>
      </c>
      <c r="G237" s="40"/>
      <c r="J237" s="9"/>
      <c r="K237" s="9"/>
      <c r="L237" s="16"/>
    </row>
    <row r="238" spans="1:12">
      <c r="A238" s="1"/>
      <c r="B238" s="7"/>
      <c r="D238" s="16"/>
      <c r="G238" s="40"/>
    </row>
    <row r="239" spans="1:12">
      <c r="A239" s="8" t="s">
        <v>3988</v>
      </c>
      <c r="B239" s="7"/>
      <c r="D239" s="16"/>
      <c r="G239" s="40"/>
    </row>
    <row r="240" spans="1:12">
      <c r="A240" s="1" t="s">
        <v>3986</v>
      </c>
      <c r="B240" s="7"/>
      <c r="D240" s="16"/>
      <c r="G240" s="40">
        <f>COUNTIF(G3:G237,"Y")</f>
        <v>32</v>
      </c>
    </row>
    <row r="241" spans="1:7">
      <c r="A241" s="1" t="s">
        <v>3987</v>
      </c>
      <c r="B241" s="7"/>
      <c r="D241" s="16"/>
      <c r="G241" s="41">
        <f>COUNTIF(G4:G240,"N")</f>
        <v>6</v>
      </c>
    </row>
    <row r="242" spans="1:7">
      <c r="A242" s="8" t="s">
        <v>3985</v>
      </c>
      <c r="G242" s="23">
        <f>SUM(G240:G241)</f>
        <v>38</v>
      </c>
    </row>
  </sheetData>
  <mergeCells count="17">
    <mergeCell ref="B107:B108"/>
    <mergeCell ref="A127:B127"/>
    <mergeCell ref="B128:B129"/>
    <mergeCell ref="B145:B146"/>
    <mergeCell ref="A223:B223"/>
    <mergeCell ref="A163:B163"/>
    <mergeCell ref="A164:B164"/>
    <mergeCell ref="A174:B174"/>
    <mergeCell ref="A178:B178"/>
    <mergeCell ref="B82:B83"/>
    <mergeCell ref="A98:B98"/>
    <mergeCell ref="A103:B103"/>
    <mergeCell ref="A106:B106"/>
    <mergeCell ref="A26:B26"/>
    <mergeCell ref="A67:B67"/>
    <mergeCell ref="A71:B71"/>
    <mergeCell ref="A81:B81"/>
  </mergeCells>
  <phoneticPr fontId="2" type="noConversion"/>
  <hyperlinks>
    <hyperlink ref="A1" r:id="rId1" display="http://www.laborcommissioner.com/10rates/carson.html"/>
    <hyperlink ref="B3" location="SHEET" display="SHEET"/>
    <hyperlink ref="B14" location="BRICK ZONE 07" display="BRICK ZONE 07"/>
    <hyperlink ref="B19" location="Carp" display="Carp"/>
    <hyperlink ref="B55" location="LABORER ZONE" display="LABORER ZONE"/>
    <hyperlink ref="B65" location="LABORER ZONE" display="LABORER ZONE"/>
    <hyperlink ref="B68" location="Hod Brick Zone" display="Hod Brick Zone"/>
    <hyperlink ref="B72" location="Hod Brick Zone" display="Hod Brick Zone"/>
    <hyperlink ref="B77" r:id="rId2" display="http://www.laborcommissioner.com/10rates/2010 Amendments/2010Amendment1.htm"/>
    <hyperlink ref="A83" location="LABORER GROUP" display="LABORER GROUP"/>
    <hyperlink ref="B82" location="LABORER ZONE" display="LABORER ZONE"/>
    <hyperlink ref="B99" r:id="rId3" display="http://www.laborcommissioner.com/10rates/2010 Amendments/2010Amendment2.htm"/>
    <hyperlink ref="A108" location="OP GROUPS" display="OP GROUPS"/>
    <hyperlink ref="B107" location="OP ZONE" display="OP ZONE"/>
    <hyperlink ref="A129" location="OP GROUP  STEEL" display="OP GROUP  STEEL"/>
    <hyperlink ref="B128" location="OP ZONE" display="OP ZONE"/>
    <hyperlink ref="A146" location="OP GROUP PILEDRIVER" display="OP GROUP PILEDRIVER"/>
    <hyperlink ref="B145" location="OP ZONE" display="OP ZONE"/>
    <hyperlink ref="B179" location="PLAS ZONE" display="PLAS ZONE"/>
    <hyperlink ref="B194" location="SHEET" display="SHEET"/>
    <hyperlink ref="B204" location="OP ZONE" display="OP ZONE"/>
    <hyperlink ref="B210" location="TILE 09" display="TILE 09"/>
    <hyperlink ref="B221" location="LABORER ZONE" display="LABORER ZONE"/>
    <hyperlink ref="B230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8"/>
  <sheetViews>
    <sheetView workbookViewId="0">
      <selection activeCell="M1" sqref="M1:M1048576"/>
    </sheetView>
  </sheetViews>
  <sheetFormatPr defaultRowHeight="12.75"/>
  <cols>
    <col min="1" max="1" width="31.7109375" customWidth="1"/>
    <col min="3" max="3" width="9.28515625" style="9" bestFit="1" customWidth="1"/>
    <col min="4" max="4" width="11.28515625" customWidth="1"/>
    <col min="6" max="6" width="18.28515625" customWidth="1"/>
    <col min="8" max="8" width="11" customWidth="1"/>
    <col min="9" max="9" width="12" customWidth="1"/>
    <col min="10" max="10" width="8.42578125" customWidth="1"/>
    <col min="11" max="11" width="14" customWidth="1"/>
    <col min="12" max="12" width="12.28515625" customWidth="1"/>
  </cols>
  <sheetData>
    <row r="1" spans="1:12" ht="53.25" customHeight="1">
      <c r="A1" s="48" t="s">
        <v>3993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9"/>
      <c r="C2" s="30"/>
      <c r="D2" s="21">
        <f>AVERAGE(D4:D273)</f>
        <v>3.0916238223214956E-2</v>
      </c>
      <c r="E2" s="9"/>
      <c r="F2" s="21">
        <f>AVERAGE(F4:F273)</f>
        <v>4.5598314459687372E-2</v>
      </c>
      <c r="H2" s="21">
        <f>AVERAGE(H4:H273)</f>
        <v>5.0682404164486126E-2</v>
      </c>
      <c r="I2" s="21">
        <f>AVERAGE(I4:I273)</f>
        <v>-2.2828792016542265E-2</v>
      </c>
      <c r="L2" s="21">
        <f>AVERAGE(L4:L273)</f>
        <v>0.23427309376397287</v>
      </c>
    </row>
    <row r="3" spans="1:12">
      <c r="A3" s="58"/>
      <c r="B3" s="58"/>
      <c r="C3" s="64"/>
      <c r="D3" s="60"/>
      <c r="E3" s="9"/>
      <c r="F3" s="60"/>
      <c r="H3" s="60"/>
      <c r="I3" s="60"/>
      <c r="L3" s="60"/>
    </row>
    <row r="4" spans="1:12" ht="63.75">
      <c r="A4" s="2" t="s">
        <v>3500</v>
      </c>
      <c r="B4" s="3" t="s">
        <v>3501</v>
      </c>
      <c r="C4" s="8" t="s">
        <v>3481</v>
      </c>
      <c r="D4" s="8"/>
      <c r="E4" s="44"/>
      <c r="F4" s="43"/>
      <c r="G4" s="23" t="s">
        <v>3983</v>
      </c>
      <c r="H4" s="43">
        <f>AVERAGE(F5:F7)</f>
        <v>0.47873563218390824</v>
      </c>
      <c r="I4" s="8"/>
      <c r="J4" s="44"/>
      <c r="K4" s="44"/>
      <c r="L4" s="43"/>
    </row>
    <row r="5" spans="1:12">
      <c r="A5" s="1" t="s">
        <v>3502</v>
      </c>
      <c r="B5" s="7">
        <v>46.6</v>
      </c>
      <c r="C5" s="9">
        <v>48.35</v>
      </c>
      <c r="D5" s="16">
        <f>(C5-B5)/B5</f>
        <v>3.7553648068669523E-2</v>
      </c>
      <c r="E5" s="9">
        <v>34.799999999999997</v>
      </c>
      <c r="F5" s="16">
        <f>(C5-E5)/E5</f>
        <v>0.3893678160919542</v>
      </c>
      <c r="G5" s="40"/>
      <c r="J5" s="9"/>
      <c r="K5" s="9"/>
      <c r="L5" s="16"/>
    </row>
    <row r="6" spans="1:12">
      <c r="A6" s="1" t="s">
        <v>3503</v>
      </c>
      <c r="B6" s="7">
        <v>49.62</v>
      </c>
      <c r="C6" s="9">
        <v>51.46</v>
      </c>
      <c r="D6" s="16">
        <f>(C6-B6)/B6</f>
        <v>3.70818218460299E-2</v>
      </c>
      <c r="E6" s="9">
        <v>34.799999999999997</v>
      </c>
      <c r="F6" s="16">
        <f>(C6-E6)/E6</f>
        <v>0.47873563218390819</v>
      </c>
      <c r="G6" s="40"/>
      <c r="J6" s="9"/>
      <c r="K6" s="9"/>
      <c r="L6" s="16"/>
    </row>
    <row r="7" spans="1:12">
      <c r="A7" s="1" t="s">
        <v>3504</v>
      </c>
      <c r="B7" s="7">
        <v>52.64</v>
      </c>
      <c r="C7" s="9">
        <v>54.57</v>
      </c>
      <c r="D7" s="16">
        <f>(C7-B7)/B7</f>
        <v>3.666413373860182E-2</v>
      </c>
      <c r="E7" s="9">
        <v>34.799999999999997</v>
      </c>
      <c r="F7" s="16">
        <f>(C7-E7)/E7</f>
        <v>0.56810344827586223</v>
      </c>
      <c r="G7" s="40"/>
      <c r="J7" s="9"/>
      <c r="K7" s="9"/>
      <c r="L7" s="16"/>
    </row>
    <row r="8" spans="1:12">
      <c r="A8" s="1"/>
      <c r="B8" s="1"/>
      <c r="E8" s="9"/>
      <c r="G8" s="40"/>
      <c r="J8" s="9"/>
      <c r="K8" s="9"/>
      <c r="L8" s="16"/>
    </row>
    <row r="9" spans="1:12">
      <c r="A9" s="2" t="s">
        <v>3505</v>
      </c>
      <c r="B9" s="1"/>
      <c r="C9" s="44"/>
      <c r="D9" s="8"/>
      <c r="E9" s="44"/>
      <c r="F9" s="8"/>
      <c r="G9" s="23" t="s">
        <v>3984</v>
      </c>
      <c r="H9" s="8"/>
      <c r="I9" s="43">
        <f>AVERAGE(F10)</f>
        <v>0</v>
      </c>
      <c r="J9" s="44"/>
      <c r="K9" s="44"/>
      <c r="L9" s="43"/>
    </row>
    <row r="10" spans="1:12">
      <c r="A10" s="1" t="s">
        <v>3675</v>
      </c>
      <c r="B10" s="7">
        <v>25.69</v>
      </c>
      <c r="C10" s="9">
        <v>26.77</v>
      </c>
      <c r="D10" s="16">
        <f>(C10-B10)/B10</f>
        <v>4.2039704165044697E-2</v>
      </c>
      <c r="E10" s="9">
        <v>26.77</v>
      </c>
      <c r="F10" s="16">
        <f>(C10-E10)/E10</f>
        <v>0</v>
      </c>
      <c r="G10" s="40"/>
      <c r="J10" s="9"/>
      <c r="K10" s="9"/>
      <c r="L10" s="16"/>
    </row>
    <row r="11" spans="1:12">
      <c r="A11" s="1"/>
      <c r="B11" s="7"/>
      <c r="E11" s="9"/>
      <c r="G11" s="40"/>
      <c r="J11" s="9"/>
      <c r="K11" s="9"/>
      <c r="L11" s="16"/>
    </row>
    <row r="12" spans="1:12">
      <c r="A12" s="2" t="s">
        <v>3507</v>
      </c>
      <c r="B12" s="7"/>
      <c r="C12" s="8" t="s">
        <v>3981</v>
      </c>
      <c r="D12" s="8"/>
      <c r="E12" s="44"/>
      <c r="F12" s="8"/>
      <c r="G12" s="23" t="s">
        <v>3983</v>
      </c>
      <c r="H12" s="43">
        <f>AVERAGE(F13)</f>
        <v>1.8693032596941044E-2</v>
      </c>
      <c r="I12" s="8"/>
      <c r="J12" s="44"/>
      <c r="K12" s="44"/>
      <c r="L12" s="43"/>
    </row>
    <row r="13" spans="1:12">
      <c r="A13" s="1" t="s">
        <v>3508</v>
      </c>
      <c r="B13" s="7">
        <v>59.5</v>
      </c>
      <c r="C13" s="9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J13" s="9"/>
      <c r="K13" s="9"/>
      <c r="L13" s="16"/>
    </row>
    <row r="14" spans="1:12">
      <c r="A14" s="1"/>
      <c r="B14" s="1"/>
      <c r="E14" s="9"/>
      <c r="G14" s="40"/>
      <c r="J14" s="9"/>
      <c r="K14" s="9"/>
      <c r="L14" s="16"/>
    </row>
    <row r="15" spans="1:12" ht="38.25">
      <c r="A15" s="2" t="s">
        <v>3509</v>
      </c>
      <c r="B15" s="3" t="s">
        <v>3510</v>
      </c>
      <c r="C15" s="8" t="s">
        <v>3480</v>
      </c>
      <c r="D15" s="8"/>
      <c r="E15" s="44"/>
      <c r="F15" s="8"/>
      <c r="G15" s="23" t="s">
        <v>3983</v>
      </c>
      <c r="H15" s="43">
        <f>AVERAGE(F16:F18)</f>
        <v>8.2090341690468568E-2</v>
      </c>
      <c r="I15" s="8"/>
      <c r="J15" s="44"/>
      <c r="K15" s="44"/>
      <c r="L15" s="43"/>
    </row>
    <row r="16" spans="1:12">
      <c r="A16" s="1" t="s">
        <v>3511</v>
      </c>
      <c r="B16" s="7">
        <v>32.68</v>
      </c>
      <c r="C16" s="9">
        <v>32.68</v>
      </c>
      <c r="D16" s="16">
        <f>(C16-B16)/B16</f>
        <v>0</v>
      </c>
      <c r="E16" s="9">
        <v>31.51</v>
      </c>
      <c r="F16" s="16">
        <f>(C16-E16)/E16</f>
        <v>3.7131069501745419E-2</v>
      </c>
      <c r="G16" s="40"/>
      <c r="J16" s="9"/>
      <c r="K16" s="9"/>
      <c r="L16" s="16"/>
    </row>
    <row r="17" spans="1:12">
      <c r="A17" s="1" t="s">
        <v>3512</v>
      </c>
      <c r="B17" s="7">
        <v>33.93</v>
      </c>
      <c r="C17" s="9">
        <v>33.93</v>
      </c>
      <c r="D17" s="16">
        <f>(C17-B17)/B17</f>
        <v>0</v>
      </c>
      <c r="E17" s="9">
        <v>31.51</v>
      </c>
      <c r="F17" s="16">
        <f>(C17-E17)/E17</f>
        <v>7.6801015550618787E-2</v>
      </c>
      <c r="G17" s="40"/>
      <c r="J17" s="9"/>
      <c r="K17" s="9"/>
      <c r="L17" s="16"/>
    </row>
    <row r="18" spans="1:12">
      <c r="A18" s="1" t="s">
        <v>3513</v>
      </c>
      <c r="B18" s="7">
        <v>35.68</v>
      </c>
      <c r="C18" s="9">
        <v>35.68</v>
      </c>
      <c r="D18" s="16">
        <f>(C18-B18)/B18</f>
        <v>0</v>
      </c>
      <c r="E18" s="9">
        <v>31.51</v>
      </c>
      <c r="F18" s="16">
        <f>(C18-E18)/E18</f>
        <v>0.13233894001904151</v>
      </c>
      <c r="G18" s="40"/>
      <c r="J18" s="9"/>
      <c r="K18" s="9"/>
      <c r="L18" s="16"/>
    </row>
    <row r="19" spans="1:12">
      <c r="A19" s="1"/>
      <c r="B19" s="1"/>
      <c r="E19" s="9"/>
      <c r="G19" s="40"/>
      <c r="J19" s="9"/>
      <c r="K19" s="9"/>
      <c r="L19" s="16"/>
    </row>
    <row r="20" spans="1:12" ht="38.25">
      <c r="A20" s="2" t="s">
        <v>3514</v>
      </c>
      <c r="B20" s="3" t="s">
        <v>3510</v>
      </c>
      <c r="C20" s="44"/>
      <c r="D20" s="8"/>
      <c r="E20" s="44"/>
      <c r="F20" s="8"/>
      <c r="G20" s="23" t="s">
        <v>3983</v>
      </c>
      <c r="H20" s="43">
        <f>AVERAGE(F21:F22)</f>
        <v>6.5649867374005147E-2</v>
      </c>
      <c r="I20" s="8"/>
      <c r="J20" s="9"/>
      <c r="K20" s="9"/>
      <c r="L20" s="43"/>
    </row>
    <row r="21" spans="1:12">
      <c r="A21" s="1" t="s">
        <v>3515</v>
      </c>
      <c r="B21" s="7">
        <v>38.299999999999997</v>
      </c>
      <c r="C21" s="9">
        <v>38.799999999999997</v>
      </c>
      <c r="D21" s="16">
        <f>(C21-B21)/B21</f>
        <v>1.3054830287206267E-2</v>
      </c>
      <c r="E21" s="9">
        <v>37.700000000000003</v>
      </c>
      <c r="F21" s="16">
        <f>(C21-E21)/E21</f>
        <v>2.9177718832891095E-2</v>
      </c>
      <c r="G21" s="40"/>
      <c r="J21" s="49">
        <v>19.72</v>
      </c>
      <c r="K21" s="49">
        <f>J21*1.4</f>
        <v>27.607999999999997</v>
      </c>
      <c r="L21" s="16">
        <f>(C21-K21)/K21</f>
        <v>0.40538974210373807</v>
      </c>
    </row>
    <row r="22" spans="1:12">
      <c r="A22" s="1" t="s">
        <v>3516</v>
      </c>
      <c r="B22" s="7">
        <v>41.05</v>
      </c>
      <c r="C22" s="9">
        <v>41.55</v>
      </c>
      <c r="D22" s="16">
        <f>(C22-B22)/B22</f>
        <v>1.2180267965895251E-2</v>
      </c>
      <c r="E22" s="9">
        <v>37.700000000000003</v>
      </c>
      <c r="F22" s="16">
        <f>(C22-E22)/E22</f>
        <v>0.1021220159151192</v>
      </c>
      <c r="G22" s="40"/>
      <c r="J22" s="49">
        <v>19.72</v>
      </c>
      <c r="K22" s="49">
        <f t="shared" ref="K22:K85" si="0">J22*1.4</f>
        <v>27.607999999999997</v>
      </c>
      <c r="L22" s="16">
        <f t="shared" ref="L22" si="1">(C22-K22)/K22</f>
        <v>0.5049985511445958</v>
      </c>
    </row>
    <row r="23" spans="1:12">
      <c r="A23" s="1"/>
      <c r="B23" s="1"/>
      <c r="E23" s="9"/>
      <c r="G23" s="40"/>
      <c r="J23" s="9"/>
      <c r="K23" s="49">
        <f t="shared" si="0"/>
        <v>0</v>
      </c>
      <c r="L23" s="16"/>
    </row>
    <row r="24" spans="1:12">
      <c r="A24" s="2" t="s">
        <v>3517</v>
      </c>
      <c r="B24" s="1"/>
      <c r="C24" s="44"/>
      <c r="D24" s="8"/>
      <c r="E24" s="44"/>
      <c r="F24" s="8"/>
      <c r="G24" s="23" t="s">
        <v>3984</v>
      </c>
      <c r="H24" s="8"/>
      <c r="I24" s="8"/>
      <c r="J24" s="44"/>
      <c r="K24" s="49">
        <f t="shared" si="0"/>
        <v>0</v>
      </c>
      <c r="L24" s="16"/>
    </row>
    <row r="25" spans="1:12">
      <c r="A25" s="1" t="s">
        <v>3521</v>
      </c>
      <c r="B25" s="7">
        <v>34.4</v>
      </c>
      <c r="C25" s="9">
        <v>26.5</v>
      </c>
      <c r="D25" s="16">
        <f>(C25-B25)/B25</f>
        <v>-0.22965116279069764</v>
      </c>
      <c r="E25" s="9">
        <v>26.5</v>
      </c>
      <c r="F25" s="16">
        <f>(C25-E25)/E25</f>
        <v>0</v>
      </c>
      <c r="G25" s="40"/>
      <c r="J25" s="9">
        <v>25.82</v>
      </c>
      <c r="K25" s="49">
        <f t="shared" si="0"/>
        <v>36.147999999999996</v>
      </c>
      <c r="L25" s="16">
        <f>(C25-K25)/K25</f>
        <v>-0.2669027332079229</v>
      </c>
    </row>
    <row r="26" spans="1:12">
      <c r="A26" s="1" t="s">
        <v>3522</v>
      </c>
      <c r="B26" s="7">
        <v>36.4</v>
      </c>
      <c r="C26" s="9">
        <v>26.5</v>
      </c>
      <c r="D26" s="16">
        <f>(C26-B26)/B26</f>
        <v>-0.27197802197802196</v>
      </c>
      <c r="E26" s="9">
        <v>26.5</v>
      </c>
      <c r="F26" s="16">
        <f>(C26-E26)/E26</f>
        <v>0</v>
      </c>
      <c r="G26" s="40"/>
      <c r="J26" s="9">
        <v>25.82</v>
      </c>
      <c r="K26" s="49">
        <f t="shared" si="0"/>
        <v>36.147999999999996</v>
      </c>
      <c r="L26" s="16">
        <f>(C26-K26)/K26</f>
        <v>-0.2669027332079229</v>
      </c>
    </row>
    <row r="27" spans="1:12">
      <c r="A27" s="143"/>
      <c r="B27" s="143"/>
      <c r="E27" s="9"/>
      <c r="G27" s="40"/>
      <c r="J27" s="9"/>
      <c r="K27" s="49">
        <f t="shared" si="0"/>
        <v>0</v>
      </c>
      <c r="L27" s="16"/>
    </row>
    <row r="28" spans="1:12" ht="12.75" customHeight="1">
      <c r="A28" s="144" t="s">
        <v>3676</v>
      </c>
      <c r="B28" s="144"/>
      <c r="C28" s="8" t="s">
        <v>3487</v>
      </c>
      <c r="D28" s="8"/>
      <c r="E28" s="44"/>
      <c r="F28" s="8"/>
      <c r="G28" s="23" t="s">
        <v>3983</v>
      </c>
      <c r="H28" s="43">
        <f>AVERAGE(F29:F31)</f>
        <v>1.7388087310395813E-2</v>
      </c>
      <c r="I28" s="8"/>
      <c r="J28" s="44"/>
      <c r="K28" s="49">
        <f t="shared" si="0"/>
        <v>0</v>
      </c>
      <c r="L28" s="43"/>
    </row>
    <row r="29" spans="1:12" ht="25.5">
      <c r="A29" s="1" t="s">
        <v>3677</v>
      </c>
      <c r="B29" s="7">
        <v>27.97</v>
      </c>
      <c r="C29" s="9">
        <v>27.5</v>
      </c>
      <c r="D29" s="16">
        <f>(C29-B29)/B29</f>
        <v>-1.6803718269574504E-2</v>
      </c>
      <c r="E29" s="9">
        <v>27.03</v>
      </c>
      <c r="F29" s="16">
        <f>(C29-E29)/E29</f>
        <v>1.7388087310395813E-2</v>
      </c>
      <c r="G29" s="40"/>
      <c r="J29" s="9"/>
      <c r="K29" s="49">
        <f t="shared" si="0"/>
        <v>0</v>
      </c>
      <c r="L29" s="16"/>
    </row>
    <row r="30" spans="1:12" ht="25.5">
      <c r="A30" s="1" t="s">
        <v>3678</v>
      </c>
      <c r="B30" s="7">
        <v>30.88</v>
      </c>
      <c r="C30" s="9">
        <v>27.5</v>
      </c>
      <c r="D30" s="16">
        <f>(C30-B30)/B30</f>
        <v>-0.10945595854922277</v>
      </c>
      <c r="E30" s="9">
        <v>27.03</v>
      </c>
      <c r="F30" s="16">
        <f>(C30-E30)/E30</f>
        <v>1.7388087310395813E-2</v>
      </c>
      <c r="G30" s="40"/>
      <c r="J30" s="9"/>
      <c r="K30" s="49">
        <f t="shared" si="0"/>
        <v>0</v>
      </c>
      <c r="L30" s="16"/>
    </row>
    <row r="31" spans="1:12" ht="25.5">
      <c r="A31" s="1" t="s">
        <v>3679</v>
      </c>
      <c r="B31" s="7">
        <v>33.130000000000003</v>
      </c>
      <c r="C31" s="9">
        <v>27.5</v>
      </c>
      <c r="D31" s="16">
        <f>(C31-B31)/B31</f>
        <v>-0.16993661334138249</v>
      </c>
      <c r="E31" s="9">
        <v>27.03</v>
      </c>
      <c r="F31" s="16">
        <f>(C31-E31)/E31</f>
        <v>1.7388087310395813E-2</v>
      </c>
      <c r="G31" s="40"/>
      <c r="J31" s="9"/>
      <c r="K31" s="49">
        <f t="shared" si="0"/>
        <v>0</v>
      </c>
      <c r="L31" s="16"/>
    </row>
    <row r="32" spans="1:12">
      <c r="A32" s="1"/>
      <c r="B32" s="1"/>
      <c r="E32" s="9"/>
      <c r="G32" s="40"/>
      <c r="J32" s="9"/>
      <c r="K32" s="49">
        <f t="shared" si="0"/>
        <v>0</v>
      </c>
      <c r="L32" s="16"/>
    </row>
    <row r="33" spans="1:12">
      <c r="A33" s="2" t="s">
        <v>3527</v>
      </c>
      <c r="B33" s="5" t="s">
        <v>3534</v>
      </c>
      <c r="C33" s="44"/>
      <c r="D33" s="8"/>
      <c r="E33" s="44"/>
      <c r="F33" s="8"/>
      <c r="G33" s="23" t="s">
        <v>3983</v>
      </c>
      <c r="H33" s="43">
        <f>AVERAGE(F34:F38)</f>
        <v>-2.2260273972602725E-2</v>
      </c>
      <c r="I33" s="8"/>
      <c r="J33" s="44"/>
      <c r="K33" s="49">
        <f t="shared" si="0"/>
        <v>0</v>
      </c>
      <c r="L33" s="43"/>
    </row>
    <row r="34" spans="1:12">
      <c r="A34" s="1" t="s">
        <v>3528</v>
      </c>
      <c r="B34" s="7">
        <v>39.19</v>
      </c>
      <c r="C34" s="9">
        <v>40.5</v>
      </c>
      <c r="D34" s="16">
        <f>(C34-B34)/B34</f>
        <v>3.3426894615973521E-2</v>
      </c>
      <c r="E34" s="9">
        <v>58.4</v>
      </c>
      <c r="F34" s="16">
        <f>(C34-E34)/E34</f>
        <v>-0.3065068493150685</v>
      </c>
      <c r="G34" s="40"/>
      <c r="J34" s="9"/>
      <c r="K34" s="49">
        <f t="shared" si="0"/>
        <v>0</v>
      </c>
      <c r="L34" s="16"/>
    </row>
    <row r="35" spans="1:12">
      <c r="A35" s="1" t="s">
        <v>3529</v>
      </c>
      <c r="B35" s="7">
        <v>57.91</v>
      </c>
      <c r="C35" s="9">
        <v>59.9</v>
      </c>
      <c r="D35" s="16">
        <f>(C35-B35)/B35</f>
        <v>3.4363667760317768E-2</v>
      </c>
      <c r="E35" s="9">
        <v>58.4</v>
      </c>
      <c r="F35" s="16">
        <f>(C35-E35)/E35</f>
        <v>2.5684931506849317E-2</v>
      </c>
      <c r="G35" s="40"/>
      <c r="J35" s="9"/>
      <c r="K35" s="49">
        <f t="shared" si="0"/>
        <v>0</v>
      </c>
      <c r="L35" s="16"/>
    </row>
    <row r="36" spans="1:12">
      <c r="A36" s="1" t="s">
        <v>3530</v>
      </c>
      <c r="B36" s="7">
        <v>63.02</v>
      </c>
      <c r="C36" s="9">
        <v>65.16</v>
      </c>
      <c r="D36" s="16">
        <f>(C36-B36)/B36</f>
        <v>3.3957473817835503E-2</v>
      </c>
      <c r="E36" s="9">
        <v>58.4</v>
      </c>
      <c r="F36" s="16">
        <f>(C36-E36)/E36</f>
        <v>0.11575342465753422</v>
      </c>
      <c r="G36" s="40"/>
      <c r="J36" s="9"/>
      <c r="K36" s="49">
        <f t="shared" si="0"/>
        <v>0</v>
      </c>
      <c r="L36" s="16"/>
    </row>
    <row r="37" spans="1:12">
      <c r="A37" s="1" t="s">
        <v>3531</v>
      </c>
      <c r="B37" s="7">
        <v>68.12</v>
      </c>
      <c r="C37" s="9">
        <v>70.45</v>
      </c>
      <c r="D37" s="16">
        <f>(C37-B37)/B37</f>
        <v>3.4204345273047533E-2</v>
      </c>
      <c r="E37" s="9">
        <v>58.4</v>
      </c>
      <c r="F37" s="16">
        <f>(C37-E37)/E37</f>
        <v>0.20633561643835624</v>
      </c>
      <c r="G37" s="40"/>
      <c r="J37" s="9"/>
      <c r="K37" s="49">
        <f t="shared" si="0"/>
        <v>0</v>
      </c>
      <c r="L37" s="16"/>
    </row>
    <row r="38" spans="1:12">
      <c r="A38" s="1" t="s">
        <v>3532</v>
      </c>
      <c r="B38" s="7">
        <v>47.86</v>
      </c>
      <c r="C38" s="9">
        <v>49.49</v>
      </c>
      <c r="D38" s="16">
        <f>(C38-B38)/B38</f>
        <v>3.4057668198913552E-2</v>
      </c>
      <c r="E38" s="9">
        <v>58.4</v>
      </c>
      <c r="F38" s="16">
        <f>(C38-E38)/E38</f>
        <v>-0.15256849315068488</v>
      </c>
      <c r="G38" s="40"/>
      <c r="J38" s="9"/>
      <c r="K38" s="49">
        <f t="shared" si="0"/>
        <v>0</v>
      </c>
      <c r="L38" s="16"/>
    </row>
    <row r="39" spans="1:12">
      <c r="A39" s="1"/>
      <c r="B39" s="1"/>
      <c r="E39" s="9"/>
      <c r="G39" s="40"/>
      <c r="J39" s="9"/>
      <c r="K39" s="49">
        <f t="shared" si="0"/>
        <v>0</v>
      </c>
      <c r="L39" s="16"/>
    </row>
    <row r="40" spans="1:12">
      <c r="A40" s="2" t="s">
        <v>3533</v>
      </c>
      <c r="B40" s="5" t="s">
        <v>3534</v>
      </c>
      <c r="C40" s="8" t="s">
        <v>3981</v>
      </c>
      <c r="D40" s="8"/>
      <c r="E40" s="44"/>
      <c r="F40" s="8"/>
      <c r="G40" s="23" t="s">
        <v>3983</v>
      </c>
      <c r="H40" s="43">
        <f>AVERAGE(F41)</f>
        <v>5.7445868316395301E-3</v>
      </c>
      <c r="I40" s="8"/>
      <c r="J40" s="44"/>
      <c r="K40" s="49">
        <f t="shared" si="0"/>
        <v>0</v>
      </c>
      <c r="L40" s="43"/>
    </row>
    <row r="41" spans="1:12">
      <c r="A41" s="1" t="s">
        <v>3535</v>
      </c>
      <c r="B41" s="7">
        <v>44.31</v>
      </c>
      <c r="C41" s="9">
        <v>45.52</v>
      </c>
      <c r="D41" s="16">
        <f>(C41-B41)/B41</f>
        <v>2.7307605506657655E-2</v>
      </c>
      <c r="E41" s="9">
        <v>45.26</v>
      </c>
      <c r="F41" s="16">
        <f>(C41-E41)/E41</f>
        <v>5.7445868316395301E-3</v>
      </c>
      <c r="G41" s="40"/>
      <c r="J41" s="9"/>
      <c r="K41" s="49">
        <f t="shared" si="0"/>
        <v>0</v>
      </c>
      <c r="L41" s="16"/>
    </row>
    <row r="42" spans="1:12">
      <c r="A42" s="1"/>
      <c r="B42" s="7"/>
      <c r="E42" s="9"/>
      <c r="G42" s="40"/>
      <c r="J42" s="9"/>
      <c r="K42" s="49">
        <f t="shared" si="0"/>
        <v>0</v>
      </c>
      <c r="L42" s="16"/>
    </row>
    <row r="43" spans="1:12">
      <c r="A43" s="2" t="s">
        <v>3536</v>
      </c>
      <c r="B43" s="7"/>
      <c r="C43" s="44"/>
      <c r="D43" s="8"/>
      <c r="E43" s="44"/>
      <c r="F43" s="8"/>
      <c r="G43" s="23" t="s">
        <v>3983</v>
      </c>
      <c r="H43" s="43">
        <f>AVERAGE(F44)</f>
        <v>9.6286701208981015E-2</v>
      </c>
      <c r="I43" s="8"/>
      <c r="J43" s="44"/>
      <c r="K43" s="49">
        <f t="shared" si="0"/>
        <v>0</v>
      </c>
      <c r="L43" s="43"/>
    </row>
    <row r="44" spans="1:12">
      <c r="A44" s="1" t="s">
        <v>3537</v>
      </c>
      <c r="B44" s="7">
        <v>47.69</v>
      </c>
      <c r="C44" s="9">
        <v>50.78</v>
      </c>
      <c r="D44" s="16">
        <f>(C44-B44)/B44</f>
        <v>6.4793457747955627E-2</v>
      </c>
      <c r="E44" s="9">
        <v>46.32</v>
      </c>
      <c r="F44" s="16">
        <f>(C44-E44)/E44</f>
        <v>9.6286701208981015E-2</v>
      </c>
      <c r="G44" s="40"/>
      <c r="J44" s="9">
        <v>25.8</v>
      </c>
      <c r="K44" s="49">
        <f t="shared" si="0"/>
        <v>36.119999999999997</v>
      </c>
      <c r="L44" s="16">
        <f>(C44-K44)/K44</f>
        <v>0.40586932447397578</v>
      </c>
    </row>
    <row r="45" spans="1:12">
      <c r="A45" s="1"/>
      <c r="B45" s="7"/>
      <c r="E45" s="9"/>
      <c r="G45" s="40"/>
      <c r="J45" s="9"/>
      <c r="K45" s="49">
        <f t="shared" si="0"/>
        <v>0</v>
      </c>
      <c r="L45" s="16"/>
    </row>
    <row r="46" spans="1:12">
      <c r="A46" s="2" t="s">
        <v>3541</v>
      </c>
      <c r="B46" s="5" t="s">
        <v>3534</v>
      </c>
      <c r="C46" s="44"/>
      <c r="D46" s="8"/>
      <c r="E46" s="44"/>
      <c r="F46" s="8"/>
      <c r="G46" s="23" t="s">
        <v>3983</v>
      </c>
      <c r="H46" s="43">
        <f>AVERAGE(F47:F48)</f>
        <v>0.13484470327232381</v>
      </c>
      <c r="I46" s="8"/>
      <c r="J46" s="44"/>
      <c r="K46" s="49">
        <f t="shared" si="0"/>
        <v>0</v>
      </c>
      <c r="L46" s="43"/>
    </row>
    <row r="47" spans="1:12">
      <c r="A47" s="1" t="s">
        <v>3680</v>
      </c>
      <c r="B47" s="7">
        <v>46.01</v>
      </c>
      <c r="C47" s="9">
        <v>78.209999999999994</v>
      </c>
      <c r="D47" s="16">
        <f>(C47-B47)/B47</f>
        <v>0.69984785916105186</v>
      </c>
      <c r="E47" s="9">
        <v>72.12</v>
      </c>
      <c r="F47" s="16">
        <f>(C47-E47)/E47</f>
        <v>8.4442595673876714E-2</v>
      </c>
      <c r="G47" s="40"/>
      <c r="J47" s="9"/>
      <c r="K47" s="49">
        <f t="shared" si="0"/>
        <v>0</v>
      </c>
      <c r="L47" s="16"/>
    </row>
    <row r="48" spans="1:12">
      <c r="A48" s="1" t="s">
        <v>3681</v>
      </c>
      <c r="B48" s="7">
        <v>46.01</v>
      </c>
      <c r="C48" s="9">
        <v>85.48</v>
      </c>
      <c r="D48" s="16">
        <f>(C48-B48)/B48</f>
        <v>0.85785698761138895</v>
      </c>
      <c r="E48" s="9">
        <v>72.12</v>
      </c>
      <c r="F48" s="16">
        <f>(C48-E48)/E48</f>
        <v>0.18524681087077091</v>
      </c>
      <c r="G48" s="40"/>
      <c r="J48" s="9"/>
      <c r="K48" s="49">
        <f t="shared" si="0"/>
        <v>0</v>
      </c>
      <c r="L48" s="16"/>
    </row>
    <row r="49" spans="1:12">
      <c r="A49" s="1"/>
      <c r="B49" s="1"/>
      <c r="E49" s="9"/>
      <c r="G49" s="40"/>
      <c r="J49" s="9"/>
      <c r="K49" s="49">
        <f t="shared" si="0"/>
        <v>0</v>
      </c>
      <c r="L49" s="16"/>
    </row>
    <row r="50" spans="1:12" ht="51">
      <c r="A50" s="2" t="s">
        <v>3544</v>
      </c>
      <c r="B50" s="3" t="s">
        <v>3682</v>
      </c>
      <c r="C50" s="44"/>
      <c r="D50" s="8"/>
      <c r="E50" s="44"/>
      <c r="F50" s="8"/>
      <c r="G50" s="23" t="s">
        <v>3984</v>
      </c>
      <c r="H50" s="8"/>
      <c r="I50" s="43">
        <f>AVERAGE(F51)</f>
        <v>0</v>
      </c>
      <c r="J50" s="44"/>
      <c r="K50" s="49">
        <f t="shared" si="0"/>
        <v>0</v>
      </c>
      <c r="L50" s="43"/>
    </row>
    <row r="51" spans="1:12">
      <c r="A51" s="1" t="s">
        <v>3545</v>
      </c>
      <c r="B51" s="7">
        <v>30.82</v>
      </c>
      <c r="C51" s="9">
        <v>43.19</v>
      </c>
      <c r="D51" s="16">
        <f>(C51-B51)/B51</f>
        <v>0.40136275146009076</v>
      </c>
      <c r="E51" s="9">
        <v>43.19</v>
      </c>
      <c r="F51" s="16">
        <f>(C51-E51)/E51</f>
        <v>0</v>
      </c>
      <c r="G51" s="40"/>
      <c r="J51" s="9"/>
      <c r="K51" s="49">
        <f t="shared" si="0"/>
        <v>0</v>
      </c>
      <c r="L51" s="16"/>
    </row>
    <row r="52" spans="1:12">
      <c r="A52" s="1"/>
      <c r="B52" s="7"/>
      <c r="E52" s="9"/>
      <c r="G52" s="40"/>
      <c r="J52" s="9"/>
      <c r="K52" s="49">
        <f t="shared" si="0"/>
        <v>0</v>
      </c>
      <c r="L52" s="16"/>
    </row>
    <row r="53" spans="1:12" ht="63.75">
      <c r="A53" s="2" t="s">
        <v>3495</v>
      </c>
      <c r="B53" s="3" t="s">
        <v>3682</v>
      </c>
      <c r="C53" s="17" t="s">
        <v>3482</v>
      </c>
      <c r="D53" s="8"/>
      <c r="E53" s="44"/>
      <c r="F53" s="8"/>
      <c r="G53" s="23"/>
      <c r="H53" s="8"/>
      <c r="I53" s="8"/>
      <c r="J53" s="44"/>
      <c r="K53" s="49">
        <f t="shared" si="0"/>
        <v>0</v>
      </c>
      <c r="L53" s="43"/>
    </row>
    <row r="54" spans="1:12">
      <c r="A54" s="1" t="s">
        <v>3548</v>
      </c>
      <c r="B54" s="7">
        <v>27.95</v>
      </c>
      <c r="C54" s="9">
        <v>27.95</v>
      </c>
      <c r="D54" s="16">
        <f>(C54-B54)/B54</f>
        <v>0</v>
      </c>
      <c r="E54" s="9"/>
      <c r="G54" s="40"/>
      <c r="J54" s="9"/>
      <c r="K54" s="49">
        <f t="shared" si="0"/>
        <v>0</v>
      </c>
      <c r="L54" s="16"/>
    </row>
    <row r="55" spans="1:12">
      <c r="A55" s="1"/>
      <c r="B55" s="1"/>
      <c r="E55" s="9"/>
      <c r="G55" s="40"/>
      <c r="J55" s="9"/>
      <c r="K55" s="49">
        <f t="shared" si="0"/>
        <v>0</v>
      </c>
      <c r="L55" s="16"/>
    </row>
    <row r="56" spans="1:12">
      <c r="A56" s="2" t="s">
        <v>3549</v>
      </c>
      <c r="B56" s="1"/>
      <c r="C56" s="44"/>
      <c r="D56" s="8"/>
      <c r="E56" s="44"/>
      <c r="F56" s="8"/>
      <c r="G56" s="23" t="s">
        <v>3983</v>
      </c>
      <c r="H56" s="43">
        <f>AVERAGE(F57:F58)</f>
        <v>3.6491324703938281E-2</v>
      </c>
      <c r="I56" s="8"/>
      <c r="J56" s="44"/>
      <c r="K56" s="49">
        <f t="shared" si="0"/>
        <v>0</v>
      </c>
      <c r="L56" s="43"/>
    </row>
    <row r="57" spans="1:12">
      <c r="A57" s="1" t="s">
        <v>3550</v>
      </c>
      <c r="B57" s="7">
        <v>36.26</v>
      </c>
      <c r="C57" s="9">
        <v>36.340000000000003</v>
      </c>
      <c r="D57" s="16">
        <f>(C57-B57)/B57</f>
        <v>2.2062879205737838E-3</v>
      </c>
      <c r="E57" s="9">
        <v>36.31</v>
      </c>
      <c r="F57" s="16">
        <f>(C57-E57)/E57</f>
        <v>8.2621867254203073E-4</v>
      </c>
      <c r="G57" s="40"/>
      <c r="J57" s="9"/>
      <c r="K57" s="49">
        <f t="shared" si="0"/>
        <v>0</v>
      </c>
      <c r="L57" s="16"/>
    </row>
    <row r="58" spans="1:12">
      <c r="A58" s="1" t="s">
        <v>3551</v>
      </c>
      <c r="B58" s="7">
        <v>38.9</v>
      </c>
      <c r="C58" s="9">
        <v>38.93</v>
      </c>
      <c r="D58" s="16">
        <f>(C58-B58)/B58</f>
        <v>7.7120822622110891E-4</v>
      </c>
      <c r="E58" s="9">
        <v>36.31</v>
      </c>
      <c r="F58" s="16">
        <f>(C58-E58)/E58</f>
        <v>7.2156430735334537E-2</v>
      </c>
      <c r="G58" s="40"/>
      <c r="J58" s="9"/>
      <c r="K58" s="49">
        <f t="shared" si="0"/>
        <v>0</v>
      </c>
      <c r="L58" s="16"/>
    </row>
    <row r="59" spans="1:12">
      <c r="A59" s="1"/>
      <c r="B59" s="1"/>
      <c r="E59" s="9"/>
      <c r="G59" s="40"/>
      <c r="J59" s="9"/>
      <c r="K59" s="49">
        <f t="shared" si="0"/>
        <v>0</v>
      </c>
      <c r="L59" s="16"/>
    </row>
    <row r="60" spans="1:12">
      <c r="A60" s="2" t="s">
        <v>3552</v>
      </c>
      <c r="B60" s="5" t="s">
        <v>3534</v>
      </c>
      <c r="C60" s="44"/>
      <c r="D60" s="8"/>
      <c r="E60" s="44"/>
      <c r="F60" s="8"/>
      <c r="G60" s="23" t="s">
        <v>3984</v>
      </c>
      <c r="H60" s="8"/>
      <c r="I60" s="43">
        <f>AVERAGE(F61)</f>
        <v>2.2835394862036177E-2</v>
      </c>
      <c r="J60" s="44"/>
      <c r="K60" s="49">
        <f t="shared" si="0"/>
        <v>0</v>
      </c>
      <c r="L60" s="43"/>
    </row>
    <row r="61" spans="1:12">
      <c r="A61" s="1" t="s">
        <v>3553</v>
      </c>
      <c r="B61" s="7">
        <v>21.5</v>
      </c>
      <c r="C61" s="9">
        <v>21.5</v>
      </c>
      <c r="D61" s="16">
        <f>(C61-B61)/B61</f>
        <v>0</v>
      </c>
      <c r="E61" s="9">
        <v>21.02</v>
      </c>
      <c r="F61" s="16">
        <f>(C61-E61)/E61</f>
        <v>2.2835394862036177E-2</v>
      </c>
      <c r="J61" s="9"/>
      <c r="K61" s="49">
        <f t="shared" si="0"/>
        <v>0</v>
      </c>
      <c r="L61" s="16"/>
    </row>
    <row r="62" spans="1:12">
      <c r="A62" s="1"/>
      <c r="B62" s="1"/>
      <c r="E62" s="9"/>
      <c r="G62" s="40"/>
      <c r="J62" s="9"/>
      <c r="K62" s="49">
        <f t="shared" si="0"/>
        <v>0</v>
      </c>
      <c r="L62" s="16"/>
    </row>
    <row r="63" spans="1:12" ht="51">
      <c r="A63" s="2" t="s">
        <v>3554</v>
      </c>
      <c r="B63" s="3" t="s">
        <v>3682</v>
      </c>
      <c r="C63" s="44"/>
      <c r="D63" s="8"/>
      <c r="E63" s="44"/>
      <c r="F63" s="8"/>
      <c r="G63" s="23" t="s">
        <v>3983</v>
      </c>
      <c r="H63" s="43">
        <f>AVERAGE(F64)</f>
        <v>0</v>
      </c>
      <c r="I63" s="8"/>
      <c r="J63" s="44"/>
      <c r="K63" s="49">
        <f t="shared" si="0"/>
        <v>0</v>
      </c>
      <c r="L63" s="43"/>
    </row>
    <row r="64" spans="1:12">
      <c r="A64" s="1" t="s">
        <v>3555</v>
      </c>
      <c r="B64" s="7">
        <v>33.57</v>
      </c>
      <c r="C64" s="9">
        <v>33.57</v>
      </c>
      <c r="D64" s="16">
        <f>(C64-B64)/B64</f>
        <v>0</v>
      </c>
      <c r="E64" s="9">
        <v>33.57</v>
      </c>
      <c r="F64" s="16">
        <f>(C64-E64)/E64</f>
        <v>0</v>
      </c>
      <c r="G64" s="40"/>
      <c r="J64" s="9"/>
      <c r="K64" s="49">
        <f t="shared" si="0"/>
        <v>0</v>
      </c>
      <c r="L64" s="16"/>
    </row>
    <row r="65" spans="1:12">
      <c r="A65" s="143"/>
      <c r="B65" s="143"/>
      <c r="E65" s="9"/>
      <c r="G65" s="40"/>
      <c r="J65" s="9"/>
      <c r="K65" s="49">
        <f t="shared" si="0"/>
        <v>0</v>
      </c>
      <c r="L65" s="16"/>
    </row>
    <row r="66" spans="1:12">
      <c r="A66" s="143"/>
      <c r="B66" s="143"/>
      <c r="E66" s="9"/>
      <c r="G66" s="40"/>
      <c r="J66" s="9"/>
      <c r="K66" s="49">
        <f t="shared" si="0"/>
        <v>0</v>
      </c>
      <c r="L66" s="16"/>
    </row>
    <row r="67" spans="1:12" ht="38.25">
      <c r="A67" s="2" t="s">
        <v>3556</v>
      </c>
      <c r="B67" s="3" t="s">
        <v>3510</v>
      </c>
      <c r="C67" s="8" t="s">
        <v>3480</v>
      </c>
      <c r="D67" s="8"/>
      <c r="E67" s="44"/>
      <c r="F67" s="8"/>
      <c r="G67" s="23" t="s">
        <v>3984</v>
      </c>
      <c r="H67" s="8"/>
      <c r="I67" s="43">
        <f>AVERAGE(F68)</f>
        <v>-0.25112331502745883</v>
      </c>
      <c r="J67" s="44"/>
      <c r="K67" s="49">
        <f t="shared" si="0"/>
        <v>0</v>
      </c>
      <c r="L67" s="43"/>
    </row>
    <row r="68" spans="1:12">
      <c r="A68" s="1" t="s">
        <v>3557</v>
      </c>
      <c r="B68" s="7">
        <v>30.1</v>
      </c>
      <c r="C68" s="9">
        <v>15</v>
      </c>
      <c r="D68" s="16">
        <f>(C68-B68)/B68</f>
        <v>-0.50166112956810638</v>
      </c>
      <c r="E68" s="9">
        <v>20.03</v>
      </c>
      <c r="F68" s="16">
        <f>(C68-E68)/E68</f>
        <v>-0.25112331502745883</v>
      </c>
      <c r="G68" s="40"/>
      <c r="J68" s="9"/>
      <c r="K68" s="49">
        <f t="shared" si="0"/>
        <v>0</v>
      </c>
      <c r="L68" s="16"/>
    </row>
    <row r="69" spans="1:12">
      <c r="A69" s="1" t="s">
        <v>3683</v>
      </c>
      <c r="B69" s="7">
        <v>30.6</v>
      </c>
      <c r="C69" s="9">
        <v>15</v>
      </c>
      <c r="D69" s="16">
        <f>(C69-B69)/B69</f>
        <v>-0.50980392156862753</v>
      </c>
      <c r="E69" s="9">
        <v>20.03</v>
      </c>
      <c r="F69" s="16">
        <f>(C69-E69)/E69</f>
        <v>-0.25112331502745883</v>
      </c>
      <c r="G69" s="40"/>
      <c r="J69" s="9"/>
      <c r="K69" s="49">
        <f t="shared" si="0"/>
        <v>0</v>
      </c>
      <c r="L69" s="16"/>
    </row>
    <row r="70" spans="1:12">
      <c r="A70" s="143"/>
      <c r="B70" s="143"/>
      <c r="E70" s="9"/>
      <c r="G70" s="40"/>
      <c r="J70" s="9"/>
      <c r="K70" s="49">
        <f t="shared" si="0"/>
        <v>0</v>
      </c>
      <c r="L70" s="16"/>
    </row>
    <row r="71" spans="1:12" ht="38.25">
      <c r="A71" s="2" t="s">
        <v>3684</v>
      </c>
      <c r="B71" s="3" t="s">
        <v>3510</v>
      </c>
      <c r="C71" s="8" t="s">
        <v>3481</v>
      </c>
      <c r="D71" s="8"/>
      <c r="E71" s="44"/>
      <c r="F71" s="8"/>
      <c r="G71" s="23" t="s">
        <v>3983</v>
      </c>
      <c r="H71" s="43">
        <f>AVERAGE(F72:F74)</f>
        <v>3.8112164296998416E-2</v>
      </c>
      <c r="I71" s="8"/>
      <c r="J71" s="44"/>
      <c r="K71" s="49">
        <f t="shared" si="0"/>
        <v>0</v>
      </c>
      <c r="L71" s="43"/>
    </row>
    <row r="72" spans="1:12">
      <c r="A72" s="1" t="s">
        <v>3560</v>
      </c>
      <c r="B72" s="7">
        <v>33.76</v>
      </c>
      <c r="C72" s="9">
        <v>34.26</v>
      </c>
      <c r="D72" s="16">
        <f>(C72-B72)/B72</f>
        <v>1.481042654028436E-2</v>
      </c>
      <c r="E72" s="9">
        <v>33.76</v>
      </c>
      <c r="F72" s="16">
        <f>(C72-E72)/E72</f>
        <v>1.481042654028436E-2</v>
      </c>
      <c r="G72" s="40"/>
      <c r="J72" s="9"/>
      <c r="K72" s="49">
        <f t="shared" si="0"/>
        <v>0</v>
      </c>
      <c r="L72" s="16"/>
    </row>
    <row r="73" spans="1:12">
      <c r="A73" s="1" t="s">
        <v>3561</v>
      </c>
      <c r="B73" s="7">
        <v>34.76</v>
      </c>
      <c r="C73" s="9">
        <v>35.26</v>
      </c>
      <c r="D73" s="16">
        <f>(C73-B73)/B73</f>
        <v>1.4384349827387804E-2</v>
      </c>
      <c r="E73" s="9">
        <v>33.76</v>
      </c>
      <c r="F73" s="16">
        <f>(C73-E73)/E73</f>
        <v>4.4431279620853081E-2</v>
      </c>
      <c r="G73" s="40"/>
      <c r="J73" s="9"/>
      <c r="K73" s="49">
        <f t="shared" si="0"/>
        <v>0</v>
      </c>
      <c r="L73" s="16"/>
    </row>
    <row r="74" spans="1:12">
      <c r="A74" s="1" t="s">
        <v>3562</v>
      </c>
      <c r="B74" s="7">
        <v>35.119999999999997</v>
      </c>
      <c r="C74" s="9">
        <v>35.619999999999997</v>
      </c>
      <c r="D74" s="16">
        <f>(C74-B74)/B74</f>
        <v>1.4236902050113897E-2</v>
      </c>
      <c r="E74" s="9">
        <v>33.76</v>
      </c>
      <c r="F74" s="16">
        <f>(C74-E74)/E74</f>
        <v>5.5094786729857806E-2</v>
      </c>
      <c r="G74" s="40"/>
      <c r="J74" s="9"/>
      <c r="K74" s="49">
        <f t="shared" si="0"/>
        <v>0</v>
      </c>
      <c r="L74" s="16"/>
    </row>
    <row r="75" spans="1:12">
      <c r="A75" s="1"/>
      <c r="B75" s="1"/>
      <c r="E75" s="9"/>
      <c r="G75" s="40"/>
      <c r="J75" s="9"/>
      <c r="K75" s="49">
        <f t="shared" si="0"/>
        <v>0</v>
      </c>
      <c r="L75" s="16"/>
    </row>
    <row r="76" spans="1:12" ht="38.25">
      <c r="A76" s="2" t="s">
        <v>3563</v>
      </c>
      <c r="B76" s="3" t="s">
        <v>3564</v>
      </c>
      <c r="C76" s="44"/>
      <c r="D76" s="8"/>
      <c r="E76" s="44"/>
      <c r="F76" s="8"/>
      <c r="G76" s="23" t="s">
        <v>3983</v>
      </c>
      <c r="H76" s="43">
        <f>AVERAGE(F77:F79)</f>
        <v>4.7984644913627604E-2</v>
      </c>
      <c r="I76" s="8"/>
      <c r="J76" s="44"/>
      <c r="K76" s="49">
        <f t="shared" si="0"/>
        <v>0</v>
      </c>
      <c r="L76" s="43"/>
    </row>
    <row r="77" spans="1:12">
      <c r="A77" s="1" t="s">
        <v>3685</v>
      </c>
      <c r="B77" s="7">
        <v>54.38</v>
      </c>
      <c r="C77" s="9">
        <v>56.74</v>
      </c>
      <c r="D77" s="16">
        <f>(C77-B77)/B77</f>
        <v>4.3398308201544673E-2</v>
      </c>
      <c r="E77" s="9">
        <v>57.31</v>
      </c>
      <c r="F77" s="16">
        <f>(C77-E77)/E77</f>
        <v>-9.9459082184610061E-3</v>
      </c>
      <c r="G77" s="40"/>
      <c r="J77" s="9"/>
      <c r="K77" s="49">
        <f t="shared" si="0"/>
        <v>0</v>
      </c>
      <c r="L77" s="16"/>
    </row>
    <row r="78" spans="1:12">
      <c r="A78" s="1" t="s">
        <v>3566</v>
      </c>
      <c r="B78" s="7">
        <v>57.68</v>
      </c>
      <c r="C78" s="9">
        <v>60.04</v>
      </c>
      <c r="D78" s="16">
        <f>(C78-B78)/B78</f>
        <v>4.0915395284327312E-2</v>
      </c>
      <c r="E78" s="9">
        <v>57.31</v>
      </c>
      <c r="F78" s="16">
        <f>(C78-E78)/E78</f>
        <v>4.7635665677892111E-2</v>
      </c>
      <c r="G78" s="40"/>
      <c r="J78" s="9"/>
      <c r="K78" s="49">
        <f t="shared" si="0"/>
        <v>0</v>
      </c>
      <c r="L78" s="16"/>
    </row>
    <row r="79" spans="1:12">
      <c r="A79" s="1" t="s">
        <v>3567</v>
      </c>
      <c r="B79" s="7">
        <v>61.04</v>
      </c>
      <c r="C79" s="9">
        <v>63.4</v>
      </c>
      <c r="D79" s="16">
        <f>(C79-B79)/B79</f>
        <v>3.8663171690694616E-2</v>
      </c>
      <c r="E79" s="9">
        <v>57.31</v>
      </c>
      <c r="F79" s="16">
        <f>(C79-E79)/E79</f>
        <v>0.10626417728145168</v>
      </c>
      <c r="G79" s="40"/>
      <c r="J79" s="9"/>
      <c r="K79" s="49">
        <f t="shared" si="0"/>
        <v>0</v>
      </c>
      <c r="L79" s="16"/>
    </row>
    <row r="80" spans="1:12">
      <c r="A80" s="143"/>
      <c r="B80" s="143"/>
      <c r="E80" s="9"/>
      <c r="G80" s="40"/>
      <c r="J80" s="9"/>
      <c r="K80" s="49">
        <f t="shared" si="0"/>
        <v>0</v>
      </c>
      <c r="L80" s="16"/>
    </row>
    <row r="81" spans="1:12" ht="25.5" customHeight="1">
      <c r="A81" s="2" t="s">
        <v>3686</v>
      </c>
      <c r="B81" s="3" t="s">
        <v>3510</v>
      </c>
      <c r="C81" s="44"/>
      <c r="D81" s="8"/>
      <c r="E81" s="44"/>
      <c r="F81" s="8"/>
      <c r="G81" s="23" t="s">
        <v>3983</v>
      </c>
      <c r="H81" s="43">
        <f>AVERAGE(F82:F96)</f>
        <v>1.1859934936857988E-2</v>
      </c>
      <c r="I81" s="8"/>
      <c r="J81" s="44"/>
      <c r="K81" s="49">
        <f t="shared" si="0"/>
        <v>0</v>
      </c>
      <c r="L81" s="43"/>
    </row>
    <row r="82" spans="1:12">
      <c r="A82" s="3" t="s">
        <v>3569</v>
      </c>
      <c r="B82" s="3"/>
      <c r="E82" s="9"/>
      <c r="G82" s="40"/>
      <c r="J82" s="9"/>
      <c r="K82" s="49">
        <f t="shared" si="0"/>
        <v>0</v>
      </c>
    </row>
    <row r="83" spans="1:12">
      <c r="A83" s="1" t="s">
        <v>3571</v>
      </c>
      <c r="B83" s="7">
        <v>25.66</v>
      </c>
      <c r="C83" s="7">
        <v>25.66</v>
      </c>
      <c r="D83" s="16">
        <f t="shared" ref="D83:D91" si="2">(C83-B83)/B83</f>
        <v>0</v>
      </c>
      <c r="E83" s="9">
        <v>30.03</v>
      </c>
      <c r="F83" s="16">
        <f t="shared" ref="F83:F91" si="3">(C83-E83)/E83</f>
        <v>-0.14552114552114556</v>
      </c>
      <c r="G83" s="40"/>
      <c r="J83" s="9">
        <v>16.86</v>
      </c>
      <c r="K83" s="49">
        <f t="shared" si="0"/>
        <v>23.603999999999999</v>
      </c>
      <c r="L83" s="16">
        <f>(C83-K83)/K83</f>
        <v>8.7103880698186795E-2</v>
      </c>
    </row>
    <row r="84" spans="1:12">
      <c r="A84" s="1" t="s">
        <v>3572</v>
      </c>
      <c r="B84" s="7">
        <v>27.16</v>
      </c>
      <c r="C84" s="7">
        <v>27.16</v>
      </c>
      <c r="D84" s="16">
        <f t="shared" si="2"/>
        <v>0</v>
      </c>
      <c r="E84" s="9">
        <v>30.03</v>
      </c>
      <c r="F84" s="16">
        <f t="shared" si="3"/>
        <v>-9.5571095571095596E-2</v>
      </c>
      <c r="G84" s="40"/>
      <c r="J84" s="9">
        <v>16.86</v>
      </c>
      <c r="K84" s="49">
        <f t="shared" si="0"/>
        <v>23.603999999999999</v>
      </c>
      <c r="L84" s="16">
        <f t="shared" ref="L84:L91" si="4">(C84-K84)/K84</f>
        <v>0.15065243179122187</v>
      </c>
    </row>
    <row r="85" spans="1:12">
      <c r="A85" s="1" t="s">
        <v>3573</v>
      </c>
      <c r="B85" s="7">
        <v>30.82</v>
      </c>
      <c r="C85" s="7">
        <v>30.82</v>
      </c>
      <c r="D85" s="16">
        <f t="shared" si="2"/>
        <v>0</v>
      </c>
      <c r="E85" s="9">
        <v>30.03</v>
      </c>
      <c r="F85" s="16">
        <f t="shared" si="3"/>
        <v>2.6307026307026277E-2</v>
      </c>
      <c r="G85" s="40"/>
      <c r="J85" s="9">
        <v>16.86</v>
      </c>
      <c r="K85" s="49">
        <f t="shared" si="0"/>
        <v>23.603999999999999</v>
      </c>
      <c r="L85" s="16">
        <f t="shared" si="4"/>
        <v>0.30571089645822747</v>
      </c>
    </row>
    <row r="86" spans="1:12">
      <c r="A86" s="1" t="s">
        <v>3574</v>
      </c>
      <c r="B86" s="7">
        <v>27.95</v>
      </c>
      <c r="C86" s="7">
        <v>27.95</v>
      </c>
      <c r="D86" s="16">
        <f t="shared" si="2"/>
        <v>0</v>
      </c>
      <c r="E86" s="9">
        <v>30.03</v>
      </c>
      <c r="F86" s="16">
        <f t="shared" si="3"/>
        <v>-6.926406926406932E-2</v>
      </c>
      <c r="G86" s="40"/>
      <c r="J86" s="9">
        <v>16.86</v>
      </c>
      <c r="K86" s="49">
        <f t="shared" ref="K86:K149" si="5">J86*1.4</f>
        <v>23.603999999999999</v>
      </c>
      <c r="L86" s="16">
        <f t="shared" si="4"/>
        <v>0.18412133536688699</v>
      </c>
    </row>
    <row r="87" spans="1:12">
      <c r="A87" s="1" t="s">
        <v>3575</v>
      </c>
      <c r="B87" s="7">
        <v>30.92</v>
      </c>
      <c r="C87" s="7">
        <v>30.92</v>
      </c>
      <c r="D87" s="16">
        <f t="shared" si="2"/>
        <v>0</v>
      </c>
      <c r="E87" s="9">
        <v>30.03</v>
      </c>
      <c r="F87" s="16">
        <f t="shared" si="3"/>
        <v>2.9637029637029653E-2</v>
      </c>
      <c r="G87" s="40"/>
      <c r="J87" s="9">
        <v>16.86</v>
      </c>
      <c r="K87" s="49">
        <f t="shared" si="5"/>
        <v>23.603999999999999</v>
      </c>
      <c r="L87" s="16">
        <f t="shared" si="4"/>
        <v>0.30994746653109656</v>
      </c>
    </row>
    <row r="88" spans="1:12">
      <c r="A88" s="1" t="s">
        <v>3576</v>
      </c>
      <c r="B88" s="7">
        <v>31.07</v>
      </c>
      <c r="C88" s="7">
        <v>31.07</v>
      </c>
      <c r="D88" s="16">
        <f t="shared" si="2"/>
        <v>0</v>
      </c>
      <c r="E88" s="9">
        <v>30.03</v>
      </c>
      <c r="F88" s="16">
        <f t="shared" si="3"/>
        <v>3.4632034632034604E-2</v>
      </c>
      <c r="G88" s="40"/>
      <c r="J88" s="9">
        <v>16.86</v>
      </c>
      <c r="K88" s="49">
        <f t="shared" si="5"/>
        <v>23.603999999999999</v>
      </c>
      <c r="L88" s="16">
        <f t="shared" si="4"/>
        <v>0.31630232164040001</v>
      </c>
    </row>
    <row r="89" spans="1:12">
      <c r="A89" s="1" t="s">
        <v>3577</v>
      </c>
      <c r="B89" s="7">
        <v>31.32</v>
      </c>
      <c r="C89" s="7">
        <v>31.32</v>
      </c>
      <c r="D89" s="16">
        <f t="shared" si="2"/>
        <v>0</v>
      </c>
      <c r="E89" s="9">
        <v>30.03</v>
      </c>
      <c r="F89" s="16">
        <f t="shared" si="3"/>
        <v>4.2957042957042925E-2</v>
      </c>
      <c r="G89" s="40"/>
      <c r="J89" s="9">
        <v>16.86</v>
      </c>
      <c r="K89" s="49">
        <f t="shared" si="5"/>
        <v>23.603999999999999</v>
      </c>
      <c r="L89" s="16">
        <f t="shared" si="4"/>
        <v>0.3268937468225725</v>
      </c>
    </row>
    <row r="90" spans="1:12">
      <c r="A90" s="1" t="s">
        <v>3578</v>
      </c>
      <c r="B90" s="7">
        <v>32.57</v>
      </c>
      <c r="C90" s="7">
        <v>32.57</v>
      </c>
      <c r="D90" s="16">
        <f t="shared" si="2"/>
        <v>0</v>
      </c>
      <c r="E90" s="9">
        <v>30.03</v>
      </c>
      <c r="F90" s="16">
        <f t="shared" si="3"/>
        <v>8.4582084582084549E-2</v>
      </c>
      <c r="G90" s="40"/>
      <c r="J90" s="9">
        <v>16.86</v>
      </c>
      <c r="K90" s="49">
        <f t="shared" si="5"/>
        <v>23.603999999999999</v>
      </c>
      <c r="L90" s="16">
        <f t="shared" si="4"/>
        <v>0.3798508727334351</v>
      </c>
    </row>
    <row r="91" spans="1:12">
      <c r="A91" s="1" t="s">
        <v>3579</v>
      </c>
      <c r="B91" s="7">
        <v>31.62</v>
      </c>
      <c r="C91" s="7">
        <v>31.62</v>
      </c>
      <c r="D91" s="16">
        <f t="shared" si="2"/>
        <v>0</v>
      </c>
      <c r="E91" s="9">
        <v>30.03</v>
      </c>
      <c r="F91" s="16">
        <f t="shared" si="3"/>
        <v>5.2947052947052937E-2</v>
      </c>
      <c r="G91" s="40"/>
      <c r="J91" s="9">
        <v>16.86</v>
      </c>
      <c r="K91" s="49">
        <f t="shared" si="5"/>
        <v>23.603999999999999</v>
      </c>
      <c r="L91" s="16">
        <f t="shared" si="4"/>
        <v>0.33960345704117956</v>
      </c>
    </row>
    <row r="92" spans="1:12">
      <c r="A92" s="1" t="s">
        <v>3580</v>
      </c>
      <c r="B92" s="7"/>
      <c r="C92" s="7"/>
      <c r="E92" s="9"/>
      <c r="G92" s="40"/>
      <c r="J92" s="9"/>
      <c r="K92" s="49">
        <f t="shared" si="5"/>
        <v>0</v>
      </c>
      <c r="L92" s="16"/>
    </row>
    <row r="93" spans="1:12">
      <c r="A93" s="1" t="s">
        <v>3581</v>
      </c>
      <c r="B93" s="7">
        <v>31.62</v>
      </c>
      <c r="C93" s="7">
        <v>31.62</v>
      </c>
      <c r="D93" s="16">
        <f>(C93-B93)/B93</f>
        <v>0</v>
      </c>
      <c r="E93" s="9">
        <v>30.03</v>
      </c>
      <c r="F93" s="16">
        <f>(C93-E93)/E93</f>
        <v>5.2947052947052937E-2</v>
      </c>
      <c r="G93" s="40"/>
      <c r="J93" s="9">
        <v>16.86</v>
      </c>
      <c r="K93" s="49">
        <f t="shared" si="5"/>
        <v>23.603999999999999</v>
      </c>
      <c r="L93" s="16">
        <f>(C93-K93)/K93</f>
        <v>0.33960345704117956</v>
      </c>
    </row>
    <row r="94" spans="1:12">
      <c r="A94" s="1" t="s">
        <v>3687</v>
      </c>
      <c r="B94" s="7">
        <v>31.32</v>
      </c>
      <c r="C94" s="7">
        <v>31.32</v>
      </c>
      <c r="D94" s="16">
        <f>(C94-B94)/B94</f>
        <v>0</v>
      </c>
      <c r="E94" s="9">
        <v>30.03</v>
      </c>
      <c r="F94" s="16">
        <f>(C94-E94)/E94</f>
        <v>4.2957042957042925E-2</v>
      </c>
      <c r="G94" s="40"/>
      <c r="J94" s="9">
        <v>16.86</v>
      </c>
      <c r="K94" s="49">
        <f t="shared" si="5"/>
        <v>23.603999999999999</v>
      </c>
      <c r="L94" s="16">
        <f t="shared" ref="L94:L96" si="6">(C94-K94)/K94</f>
        <v>0.3268937468225725</v>
      </c>
    </row>
    <row r="95" spans="1:12">
      <c r="A95" s="1" t="s">
        <v>3583</v>
      </c>
      <c r="B95" s="7">
        <v>30.97</v>
      </c>
      <c r="C95" s="7">
        <v>30.97</v>
      </c>
      <c r="D95" s="16">
        <f>(C95-B95)/B95</f>
        <v>0</v>
      </c>
      <c r="E95" s="9">
        <v>30.03</v>
      </c>
      <c r="F95" s="16">
        <f>(C95-E95)/E95</f>
        <v>3.1302031302031227E-2</v>
      </c>
      <c r="G95" s="40"/>
      <c r="J95" s="9">
        <v>16.86</v>
      </c>
      <c r="K95" s="49">
        <f t="shared" si="5"/>
        <v>23.603999999999999</v>
      </c>
      <c r="L95" s="16">
        <f t="shared" si="6"/>
        <v>0.31206575156753091</v>
      </c>
    </row>
    <row r="96" spans="1:12">
      <c r="A96" s="1" t="s">
        <v>3584</v>
      </c>
      <c r="B96" s="7">
        <v>32.020000000000003</v>
      </c>
      <c r="C96" s="7">
        <v>32.020000000000003</v>
      </c>
      <c r="D96" s="16">
        <f>(C96-B96)/B96</f>
        <v>0</v>
      </c>
      <c r="E96" s="9">
        <v>30.03</v>
      </c>
      <c r="F96" s="16">
        <f>(C96-E96)/E96</f>
        <v>6.6267066267066327E-2</v>
      </c>
      <c r="G96" s="40"/>
      <c r="J96" s="9">
        <v>16.86</v>
      </c>
      <c r="K96" s="49">
        <f t="shared" si="5"/>
        <v>23.603999999999999</v>
      </c>
      <c r="L96" s="16">
        <f t="shared" si="6"/>
        <v>0.35654973733265566</v>
      </c>
    </row>
    <row r="97" spans="1:12">
      <c r="A97" s="143"/>
      <c r="B97" s="143"/>
      <c r="E97" s="9"/>
      <c r="G97" s="40"/>
      <c r="J97" s="9"/>
      <c r="K97" s="49">
        <f t="shared" si="5"/>
        <v>0</v>
      </c>
      <c r="L97" s="16"/>
    </row>
    <row r="98" spans="1:12" ht="38.25">
      <c r="A98" s="2" t="s">
        <v>3688</v>
      </c>
      <c r="B98" s="3" t="s">
        <v>3689</v>
      </c>
      <c r="C98" s="8" t="s">
        <v>3490</v>
      </c>
      <c r="D98" s="8"/>
      <c r="E98" s="44"/>
      <c r="F98" s="8"/>
      <c r="G98" s="23" t="s">
        <v>3983</v>
      </c>
      <c r="H98" s="43">
        <f>AVERAGE(F99:F101)</f>
        <v>-7.6331395690213549E-4</v>
      </c>
      <c r="I98" s="8"/>
      <c r="J98" s="9"/>
      <c r="K98" s="49">
        <f t="shared" si="5"/>
        <v>0</v>
      </c>
      <c r="L98" s="16"/>
    </row>
    <row r="99" spans="1:12">
      <c r="A99" s="1" t="s">
        <v>3587</v>
      </c>
      <c r="B99" s="7">
        <v>57.06</v>
      </c>
      <c r="C99" s="9">
        <v>54.56</v>
      </c>
      <c r="D99" s="16">
        <f>(C99-B99)/B99</f>
        <v>-4.3813529617946018E-2</v>
      </c>
      <c r="E99" s="9">
        <v>56.77</v>
      </c>
      <c r="F99" s="16">
        <f>(C99-E99)/E99</f>
        <v>-3.8929011802008119E-2</v>
      </c>
      <c r="G99" s="40"/>
      <c r="J99" s="9"/>
      <c r="K99" s="49">
        <f t="shared" si="5"/>
        <v>0</v>
      </c>
      <c r="L99" s="16"/>
    </row>
    <row r="100" spans="1:12">
      <c r="A100" s="1" t="s">
        <v>3588</v>
      </c>
      <c r="B100" s="7">
        <v>59.56</v>
      </c>
      <c r="C100" s="9">
        <v>57.06</v>
      </c>
      <c r="D100" s="16">
        <f>(C100-B100)/B100</f>
        <v>-4.1974479516453993E-2</v>
      </c>
      <c r="E100" s="9">
        <v>56.77</v>
      </c>
      <c r="F100" s="16">
        <f>(C100-E100)/E100</f>
        <v>5.1083318654218625E-3</v>
      </c>
      <c r="G100" s="40"/>
      <c r="J100" s="9"/>
      <c r="K100" s="49">
        <f t="shared" si="5"/>
        <v>0</v>
      </c>
      <c r="L100" s="16"/>
    </row>
    <row r="101" spans="1:12" ht="25.5">
      <c r="A101" s="1" t="s">
        <v>3589</v>
      </c>
      <c r="B101" s="7">
        <v>61.06</v>
      </c>
      <c r="C101" s="9">
        <v>58.56</v>
      </c>
      <c r="D101" s="16">
        <f>(C101-B101)/B101</f>
        <v>-4.0943334425155582E-2</v>
      </c>
      <c r="E101" s="9">
        <v>56.77</v>
      </c>
      <c r="F101" s="16">
        <f>(C101-E101)/E101</f>
        <v>3.1530738065879853E-2</v>
      </c>
      <c r="G101" s="40"/>
      <c r="J101" s="9"/>
      <c r="K101" s="49">
        <f t="shared" si="5"/>
        <v>0</v>
      </c>
      <c r="L101" s="16"/>
    </row>
    <row r="102" spans="1:12">
      <c r="A102" s="143"/>
      <c r="B102" s="143"/>
      <c r="E102" s="9"/>
      <c r="G102" s="40"/>
      <c r="J102" s="9"/>
      <c r="K102" s="49">
        <f t="shared" si="5"/>
        <v>0</v>
      </c>
      <c r="L102" s="16"/>
    </row>
    <row r="103" spans="1:12">
      <c r="A103" s="2" t="s">
        <v>3590</v>
      </c>
      <c r="B103" s="1"/>
      <c r="C103" s="44"/>
      <c r="D103" s="8"/>
      <c r="E103" s="44"/>
      <c r="F103" s="8"/>
      <c r="G103" s="23" t="s">
        <v>3983</v>
      </c>
      <c r="H103" s="43">
        <f>AVERAGE(F104)</f>
        <v>7.1888412017167405E-2</v>
      </c>
      <c r="I103" s="8"/>
      <c r="J103" s="44"/>
      <c r="K103" s="49">
        <f t="shared" si="5"/>
        <v>0</v>
      </c>
      <c r="L103" s="43"/>
    </row>
    <row r="104" spans="1:12">
      <c r="A104" s="1" t="s">
        <v>3591</v>
      </c>
      <c r="B104" s="7">
        <v>49.7</v>
      </c>
      <c r="C104" s="9">
        <v>49.95</v>
      </c>
      <c r="D104" s="16">
        <f>(C104-B104)/B104</f>
        <v>5.0301810865191147E-3</v>
      </c>
      <c r="E104" s="9">
        <v>46.6</v>
      </c>
      <c r="F104" s="16">
        <f>(C104-E104)/E104</f>
        <v>7.1888412017167405E-2</v>
      </c>
      <c r="G104" s="40"/>
      <c r="J104" s="9"/>
      <c r="K104" s="49">
        <f t="shared" si="5"/>
        <v>0</v>
      </c>
      <c r="L104" s="16"/>
    </row>
    <row r="105" spans="1:12">
      <c r="A105" s="143"/>
      <c r="B105" s="143"/>
      <c r="E105" s="9"/>
      <c r="G105" s="40"/>
      <c r="J105" s="9"/>
      <c r="K105" s="49">
        <f t="shared" si="5"/>
        <v>0</v>
      </c>
      <c r="L105" s="16"/>
    </row>
    <row r="106" spans="1:12" ht="25.5" customHeight="1">
      <c r="A106" s="2" t="s">
        <v>3592</v>
      </c>
      <c r="B106" s="4" t="s">
        <v>3690</v>
      </c>
      <c r="C106" s="44"/>
      <c r="D106" s="8"/>
      <c r="E106" s="44"/>
      <c r="F106" s="8"/>
      <c r="G106" s="23" t="s">
        <v>3983</v>
      </c>
      <c r="H106" s="43">
        <f>AVERAGE(F108:F160)</f>
        <v>0.11566709379004284</v>
      </c>
      <c r="I106" s="8"/>
      <c r="J106" s="44"/>
      <c r="K106" s="49">
        <f t="shared" si="5"/>
        <v>0</v>
      </c>
      <c r="L106" s="43"/>
    </row>
    <row r="107" spans="1:12">
      <c r="A107" s="3" t="s">
        <v>3569</v>
      </c>
      <c r="B107" s="4"/>
      <c r="E107" s="9"/>
      <c r="G107" s="40"/>
      <c r="J107" s="9"/>
      <c r="K107" s="49">
        <f t="shared" si="5"/>
        <v>0</v>
      </c>
      <c r="L107" s="43"/>
    </row>
    <row r="108" spans="1:12">
      <c r="A108" s="1" t="s">
        <v>3573</v>
      </c>
      <c r="B108" s="7">
        <v>41.33</v>
      </c>
      <c r="C108" s="9">
        <v>43.08</v>
      </c>
      <c r="D108" s="16">
        <f t="shared" ref="D108:D123" si="7">(C108-B108)/B108</f>
        <v>4.2342124364868138E-2</v>
      </c>
      <c r="E108" s="9">
        <v>45.71</v>
      </c>
      <c r="F108" s="16">
        <f t="shared" ref="F108:F123" si="8">(C108-E108)/E108</f>
        <v>-5.7536644060380712E-2</v>
      </c>
      <c r="G108" s="40"/>
      <c r="J108" s="9">
        <v>23.33</v>
      </c>
      <c r="K108" s="49">
        <f t="shared" si="5"/>
        <v>32.661999999999999</v>
      </c>
      <c r="L108" s="16">
        <f>(C108-K108)/K108</f>
        <v>0.31896393362317066</v>
      </c>
    </row>
    <row r="109" spans="1:12">
      <c r="A109" s="1" t="s">
        <v>3574</v>
      </c>
      <c r="B109" s="7">
        <v>44.09</v>
      </c>
      <c r="C109" s="9">
        <v>45.84</v>
      </c>
      <c r="D109" s="16">
        <f t="shared" si="7"/>
        <v>3.9691540031753229E-2</v>
      </c>
      <c r="E109" s="9">
        <v>45.71</v>
      </c>
      <c r="F109" s="16">
        <f t="shared" si="8"/>
        <v>2.8440166265587957E-3</v>
      </c>
      <c r="G109" s="40"/>
      <c r="J109" s="9">
        <v>23.33</v>
      </c>
      <c r="K109" s="49">
        <f t="shared" si="5"/>
        <v>32.661999999999999</v>
      </c>
      <c r="L109" s="16">
        <f t="shared" ref="L109:L123" si="9">(C109-K109)/K109</f>
        <v>0.40346580123691156</v>
      </c>
    </row>
    <row r="110" spans="1:12">
      <c r="A110" s="1" t="s">
        <v>3575</v>
      </c>
      <c r="B110" s="7">
        <v>44.62</v>
      </c>
      <c r="C110" s="9">
        <v>46.37</v>
      </c>
      <c r="D110" s="16">
        <f t="shared" si="7"/>
        <v>3.9220080681308833E-2</v>
      </c>
      <c r="E110" s="9">
        <v>45.71</v>
      </c>
      <c r="F110" s="16">
        <f t="shared" si="8"/>
        <v>1.4438853642528912E-2</v>
      </c>
      <c r="G110" s="40"/>
      <c r="J110" s="9">
        <v>23.33</v>
      </c>
      <c r="K110" s="49">
        <f t="shared" si="5"/>
        <v>32.661999999999999</v>
      </c>
      <c r="L110" s="16">
        <f t="shared" si="9"/>
        <v>0.41969260914824563</v>
      </c>
    </row>
    <row r="111" spans="1:12">
      <c r="A111" s="1" t="s">
        <v>3576</v>
      </c>
      <c r="B111" s="7">
        <v>44.89</v>
      </c>
      <c r="C111" s="9">
        <v>46.64</v>
      </c>
      <c r="D111" s="16">
        <f t="shared" si="7"/>
        <v>3.8984183559812875E-2</v>
      </c>
      <c r="E111" s="9">
        <v>45.71</v>
      </c>
      <c r="F111" s="16">
        <f t="shared" si="8"/>
        <v>2.0345657405381749E-2</v>
      </c>
      <c r="G111" s="40"/>
      <c r="J111" s="9">
        <v>23.33</v>
      </c>
      <c r="K111" s="49">
        <f t="shared" si="5"/>
        <v>32.661999999999999</v>
      </c>
      <c r="L111" s="16">
        <f t="shared" si="9"/>
        <v>0.42795909619741601</v>
      </c>
    </row>
    <row r="112" spans="1:12">
      <c r="A112" s="1" t="s">
        <v>3577</v>
      </c>
      <c r="B112" s="7">
        <v>45.63</v>
      </c>
      <c r="C112" s="9">
        <v>47.38</v>
      </c>
      <c r="D112" s="16">
        <f t="shared" si="7"/>
        <v>3.8351961428884501E-2</v>
      </c>
      <c r="E112" s="9">
        <v>45.71</v>
      </c>
      <c r="F112" s="16">
        <f t="shared" si="8"/>
        <v>3.653467512579308E-2</v>
      </c>
      <c r="G112" s="40"/>
      <c r="J112" s="9">
        <v>23.33</v>
      </c>
      <c r="K112" s="49">
        <f t="shared" si="5"/>
        <v>32.661999999999999</v>
      </c>
      <c r="L112" s="16">
        <f t="shared" si="9"/>
        <v>0.4506153940358828</v>
      </c>
    </row>
    <row r="113" spans="1:12">
      <c r="A113" s="1" t="s">
        <v>3579</v>
      </c>
      <c r="B113" s="7">
        <v>45.93</v>
      </c>
      <c r="C113" s="9">
        <v>47.68</v>
      </c>
      <c r="D113" s="16">
        <f t="shared" si="7"/>
        <v>3.8101458741563246E-2</v>
      </c>
      <c r="E113" s="9">
        <v>45.71</v>
      </c>
      <c r="F113" s="16">
        <f t="shared" si="8"/>
        <v>4.3097790417851646E-2</v>
      </c>
      <c r="G113" s="40"/>
      <c r="J113" s="9">
        <v>23.33</v>
      </c>
      <c r="K113" s="49">
        <f t="shared" si="5"/>
        <v>32.661999999999999</v>
      </c>
      <c r="L113" s="16">
        <f t="shared" si="9"/>
        <v>0.4598003796460719</v>
      </c>
    </row>
    <row r="114" spans="1:12">
      <c r="A114" s="1" t="s">
        <v>3580</v>
      </c>
      <c r="B114" s="7">
        <v>46.1</v>
      </c>
      <c r="C114" s="9">
        <v>47.85</v>
      </c>
      <c r="D114" s="16">
        <f t="shared" si="7"/>
        <v>3.7960954446854663E-2</v>
      </c>
      <c r="E114" s="9">
        <v>45.71</v>
      </c>
      <c r="F114" s="16">
        <f t="shared" si="8"/>
        <v>4.6816889083351576E-2</v>
      </c>
      <c r="G114" s="40"/>
      <c r="J114" s="9">
        <v>23.33</v>
      </c>
      <c r="K114" s="49">
        <f t="shared" si="5"/>
        <v>32.661999999999999</v>
      </c>
      <c r="L114" s="16">
        <f t="shared" si="9"/>
        <v>0.46500520482517921</v>
      </c>
    </row>
    <row r="115" spans="1:12">
      <c r="A115" s="1" t="s">
        <v>3593</v>
      </c>
      <c r="B115" s="7">
        <v>46.35</v>
      </c>
      <c r="C115" s="9">
        <v>48.1</v>
      </c>
      <c r="D115" s="16">
        <f t="shared" si="7"/>
        <v>3.7756202804746494E-2</v>
      </c>
      <c r="E115" s="9">
        <v>45.71</v>
      </c>
      <c r="F115" s="16">
        <f t="shared" si="8"/>
        <v>5.2286151826733768E-2</v>
      </c>
      <c r="G115" s="40"/>
      <c r="J115" s="9">
        <v>23.33</v>
      </c>
      <c r="K115" s="49">
        <f t="shared" si="5"/>
        <v>32.661999999999999</v>
      </c>
      <c r="L115" s="16">
        <f t="shared" si="9"/>
        <v>0.47265935950033688</v>
      </c>
    </row>
    <row r="116" spans="1:12">
      <c r="A116" s="1" t="s">
        <v>3594</v>
      </c>
      <c r="B116" s="7">
        <v>46.94</v>
      </c>
      <c r="C116" s="9">
        <v>48.69</v>
      </c>
      <c r="D116" s="16">
        <f t="shared" si="7"/>
        <v>3.7281636131231359E-2</v>
      </c>
      <c r="E116" s="9">
        <v>45.71</v>
      </c>
      <c r="F116" s="16">
        <f t="shared" si="8"/>
        <v>6.5193611901115667E-2</v>
      </c>
      <c r="G116" s="40"/>
      <c r="J116" s="9">
        <v>23.33</v>
      </c>
      <c r="K116" s="49">
        <f t="shared" si="5"/>
        <v>32.661999999999999</v>
      </c>
      <c r="L116" s="16">
        <f t="shared" si="9"/>
        <v>0.49072316453370884</v>
      </c>
    </row>
    <row r="117" spans="1:12">
      <c r="A117" s="1" t="s">
        <v>3595</v>
      </c>
      <c r="B117" s="7">
        <v>47.26</v>
      </c>
      <c r="C117" s="9">
        <v>49.01</v>
      </c>
      <c r="D117" s="16">
        <f t="shared" si="7"/>
        <v>3.7029200169276348E-2</v>
      </c>
      <c r="E117" s="9">
        <v>45.71</v>
      </c>
      <c r="F117" s="16">
        <f t="shared" si="8"/>
        <v>7.2194268212644866E-2</v>
      </c>
      <c r="G117" s="40"/>
      <c r="J117" s="9">
        <v>23.33</v>
      </c>
      <c r="K117" s="49">
        <f t="shared" si="5"/>
        <v>32.661999999999999</v>
      </c>
      <c r="L117" s="16">
        <f t="shared" si="9"/>
        <v>0.5005204825179107</v>
      </c>
    </row>
    <row r="118" spans="1:12">
      <c r="A118" s="1" t="s">
        <v>3596</v>
      </c>
      <c r="B118" s="7">
        <v>47.61</v>
      </c>
      <c r="C118" s="9">
        <v>49.36</v>
      </c>
      <c r="D118" s="16">
        <f t="shared" si="7"/>
        <v>3.6756983826927117E-2</v>
      </c>
      <c r="E118" s="9">
        <v>45.71</v>
      </c>
      <c r="F118" s="16">
        <f t="shared" si="8"/>
        <v>7.9851236053379973E-2</v>
      </c>
      <c r="G118" s="40"/>
      <c r="J118" s="9">
        <v>23.33</v>
      </c>
      <c r="K118" s="49">
        <f t="shared" si="5"/>
        <v>32.661999999999999</v>
      </c>
      <c r="L118" s="16">
        <f t="shared" si="9"/>
        <v>0.51123629906313151</v>
      </c>
    </row>
    <row r="119" spans="1:12">
      <c r="A119" s="1" t="s">
        <v>3597</v>
      </c>
      <c r="B119" s="7">
        <v>47.8</v>
      </c>
      <c r="C119" s="9">
        <v>49.55</v>
      </c>
      <c r="D119" s="16">
        <f t="shared" si="7"/>
        <v>3.6610878661087871E-2</v>
      </c>
      <c r="E119" s="9">
        <v>45.71</v>
      </c>
      <c r="F119" s="16">
        <f t="shared" si="8"/>
        <v>8.400787573835039E-2</v>
      </c>
      <c r="G119" s="40"/>
      <c r="J119" s="9">
        <v>23.33</v>
      </c>
      <c r="K119" s="49">
        <f t="shared" si="5"/>
        <v>32.661999999999999</v>
      </c>
      <c r="L119" s="16">
        <f t="shared" si="9"/>
        <v>0.51705345661625124</v>
      </c>
    </row>
    <row r="120" spans="1:12">
      <c r="A120" s="1" t="s">
        <v>3598</v>
      </c>
      <c r="B120" s="7">
        <v>48.04</v>
      </c>
      <c r="C120" s="9">
        <v>49.79</v>
      </c>
      <c r="D120" s="16">
        <f t="shared" si="7"/>
        <v>3.6427976686094925E-2</v>
      </c>
      <c r="E120" s="9">
        <v>45.71</v>
      </c>
      <c r="F120" s="16">
        <f t="shared" si="8"/>
        <v>8.9258367971997335E-2</v>
      </c>
      <c r="G120" s="40"/>
      <c r="J120" s="9">
        <v>23.33</v>
      </c>
      <c r="K120" s="49">
        <f t="shared" si="5"/>
        <v>32.661999999999999</v>
      </c>
      <c r="L120" s="16">
        <f t="shared" si="9"/>
        <v>0.52440144510440267</v>
      </c>
    </row>
    <row r="121" spans="1:12">
      <c r="A121" s="1" t="s">
        <v>3599</v>
      </c>
      <c r="B121" s="7">
        <v>49.68</v>
      </c>
      <c r="C121" s="9">
        <v>51.43</v>
      </c>
      <c r="D121" s="16">
        <f t="shared" si="7"/>
        <v>3.5225442834138483E-2</v>
      </c>
      <c r="E121" s="9">
        <v>45.71</v>
      </c>
      <c r="F121" s="16">
        <f t="shared" si="8"/>
        <v>0.12513673156858451</v>
      </c>
      <c r="G121" s="40"/>
      <c r="J121" s="9">
        <v>23.33</v>
      </c>
      <c r="K121" s="49">
        <f t="shared" si="5"/>
        <v>32.661999999999999</v>
      </c>
      <c r="L121" s="16">
        <f t="shared" si="9"/>
        <v>0.5746126997734371</v>
      </c>
    </row>
    <row r="122" spans="1:12">
      <c r="A122" s="1" t="s">
        <v>3600</v>
      </c>
      <c r="B122" s="7">
        <v>50.49</v>
      </c>
      <c r="C122" s="9">
        <v>52.24</v>
      </c>
      <c r="D122" s="16">
        <f t="shared" si="7"/>
        <v>3.4660328777975834E-2</v>
      </c>
      <c r="E122" s="9">
        <v>45.71</v>
      </c>
      <c r="F122" s="16">
        <f t="shared" si="8"/>
        <v>0.14285714285714288</v>
      </c>
      <c r="G122" s="40"/>
      <c r="J122" s="9">
        <v>23.33</v>
      </c>
      <c r="K122" s="49">
        <f t="shared" si="5"/>
        <v>32.661999999999999</v>
      </c>
      <c r="L122" s="16">
        <f t="shared" si="9"/>
        <v>0.59941216092094796</v>
      </c>
    </row>
    <row r="123" spans="1:12">
      <c r="A123" s="1" t="s">
        <v>3601</v>
      </c>
      <c r="B123" s="7">
        <v>49.68</v>
      </c>
      <c r="C123" s="9">
        <v>51.43</v>
      </c>
      <c r="D123" s="16">
        <f t="shared" si="7"/>
        <v>3.5225442834138483E-2</v>
      </c>
      <c r="E123" s="9">
        <v>45.71</v>
      </c>
      <c r="F123" s="16">
        <f t="shared" si="8"/>
        <v>0.12513673156858451</v>
      </c>
      <c r="G123" s="40"/>
      <c r="J123" s="9">
        <v>23.33</v>
      </c>
      <c r="K123" s="49">
        <f t="shared" si="5"/>
        <v>32.661999999999999</v>
      </c>
      <c r="L123" s="16">
        <f t="shared" si="9"/>
        <v>0.5746126997734371</v>
      </c>
    </row>
    <row r="124" spans="1:12" ht="25.5">
      <c r="A124" s="1" t="s">
        <v>3602</v>
      </c>
      <c r="B124" s="5" t="s">
        <v>3534</v>
      </c>
      <c r="E124" s="9"/>
      <c r="G124" s="40"/>
      <c r="J124" s="9"/>
      <c r="K124" s="49">
        <f t="shared" si="5"/>
        <v>0</v>
      </c>
      <c r="L124" s="16"/>
    </row>
    <row r="125" spans="1:12" ht="25.5">
      <c r="A125" s="1" t="s">
        <v>3603</v>
      </c>
      <c r="B125" s="5" t="s">
        <v>3534</v>
      </c>
      <c r="E125" s="9"/>
      <c r="G125" s="40"/>
      <c r="J125" s="9"/>
      <c r="K125" s="49">
        <f t="shared" si="5"/>
        <v>0</v>
      </c>
      <c r="L125" s="16"/>
    </row>
    <row r="126" spans="1:12">
      <c r="A126" s="143"/>
      <c r="B126" s="143"/>
      <c r="E126" s="9"/>
      <c r="G126" s="40"/>
      <c r="J126" s="9"/>
      <c r="K126" s="49">
        <f t="shared" si="5"/>
        <v>0</v>
      </c>
      <c r="L126" s="16"/>
    </row>
    <row r="127" spans="1:12" ht="25.5">
      <c r="A127" s="2" t="s">
        <v>3691</v>
      </c>
      <c r="B127" s="142" t="s">
        <v>3510</v>
      </c>
      <c r="E127" s="9"/>
      <c r="G127" s="40"/>
      <c r="J127" s="9"/>
      <c r="K127" s="49">
        <f t="shared" si="5"/>
        <v>0</v>
      </c>
      <c r="L127" s="16"/>
    </row>
    <row r="128" spans="1:12">
      <c r="A128" s="1" t="s">
        <v>3692</v>
      </c>
      <c r="B128" s="142"/>
      <c r="E128" s="9"/>
      <c r="G128" s="40"/>
      <c r="J128" s="9"/>
      <c r="K128" s="49">
        <f t="shared" si="5"/>
        <v>0</v>
      </c>
      <c r="L128" s="16"/>
    </row>
    <row r="129" spans="1:12">
      <c r="A129" s="1"/>
      <c r="B129" s="142"/>
      <c r="E129" s="9"/>
      <c r="G129" s="40"/>
      <c r="J129" s="9"/>
      <c r="K129" s="49">
        <f t="shared" si="5"/>
        <v>0</v>
      </c>
      <c r="L129" s="16"/>
    </row>
    <row r="130" spans="1:12">
      <c r="A130" s="1" t="s">
        <v>3573</v>
      </c>
      <c r="B130" s="7">
        <v>56.63</v>
      </c>
      <c r="C130" s="9">
        <v>58.38</v>
      </c>
      <c r="D130" s="16">
        <f t="shared" ref="D130:D141" si="10">(C130-B130)/B130</f>
        <v>3.0902348578491962E-2</v>
      </c>
      <c r="E130" s="9">
        <v>45.71</v>
      </c>
      <c r="F130" s="16">
        <f t="shared" ref="F130:F141" si="11">(C130-E130)/E130</f>
        <v>0.27718223583460955</v>
      </c>
      <c r="G130" s="40"/>
      <c r="J130" s="9">
        <v>23.33</v>
      </c>
      <c r="K130" s="49">
        <f t="shared" si="5"/>
        <v>32.661999999999999</v>
      </c>
      <c r="L130" s="16">
        <f>(C130-K130)/K130</f>
        <v>0.78739819974282055</v>
      </c>
    </row>
    <row r="131" spans="1:12">
      <c r="A131" s="1" t="s">
        <v>3605</v>
      </c>
      <c r="B131" s="7">
        <v>50.46</v>
      </c>
      <c r="C131" s="9">
        <v>52.21</v>
      </c>
      <c r="D131" s="16">
        <f t="shared" si="10"/>
        <v>3.4680935394371781E-2</v>
      </c>
      <c r="E131" s="9">
        <v>45.71</v>
      </c>
      <c r="F131" s="16">
        <f t="shared" si="11"/>
        <v>0.14220083132793698</v>
      </c>
      <c r="G131" s="40"/>
      <c r="J131" s="9">
        <v>23.33</v>
      </c>
      <c r="K131" s="49">
        <f t="shared" si="5"/>
        <v>32.661999999999999</v>
      </c>
      <c r="L131" s="16">
        <f t="shared" ref="L131:L141" si="12">(C131-K131)/K131</f>
        <v>0.59849366235992907</v>
      </c>
    </row>
    <row r="132" spans="1:12">
      <c r="A132" s="1" t="s">
        <v>3606</v>
      </c>
      <c r="B132" s="7">
        <v>48.5</v>
      </c>
      <c r="C132" s="9">
        <v>50.25</v>
      </c>
      <c r="D132" s="16">
        <f t="shared" si="10"/>
        <v>3.608247422680412E-2</v>
      </c>
      <c r="E132" s="9">
        <v>45.71</v>
      </c>
      <c r="F132" s="16">
        <f t="shared" si="11"/>
        <v>9.9321811419820591E-2</v>
      </c>
      <c r="G132" s="40"/>
      <c r="J132" s="9">
        <v>23.33</v>
      </c>
      <c r="K132" s="49">
        <f t="shared" si="5"/>
        <v>32.661999999999999</v>
      </c>
      <c r="L132" s="16">
        <f t="shared" si="12"/>
        <v>0.53848508970669284</v>
      </c>
    </row>
    <row r="133" spans="1:12">
      <c r="A133" s="1" t="s">
        <v>3575</v>
      </c>
      <c r="B133" s="7">
        <v>55.12</v>
      </c>
      <c r="C133" s="9">
        <v>56.87</v>
      </c>
      <c r="D133" s="16">
        <f t="shared" si="10"/>
        <v>3.17489114658926E-2</v>
      </c>
      <c r="E133" s="9">
        <v>45.71</v>
      </c>
      <c r="F133" s="16">
        <f t="shared" si="11"/>
        <v>0.24414788886458097</v>
      </c>
      <c r="G133" s="40"/>
      <c r="J133" s="9">
        <v>23.33</v>
      </c>
      <c r="K133" s="49">
        <f t="shared" si="5"/>
        <v>32.661999999999999</v>
      </c>
      <c r="L133" s="16">
        <f t="shared" si="12"/>
        <v>0.74116710550486797</v>
      </c>
    </row>
    <row r="134" spans="1:12">
      <c r="A134" s="1" t="s">
        <v>3607</v>
      </c>
      <c r="B134" s="7">
        <v>50.21</v>
      </c>
      <c r="C134" s="9">
        <v>51.96</v>
      </c>
      <c r="D134" s="16">
        <f t="shared" si="10"/>
        <v>3.4853614817765388E-2</v>
      </c>
      <c r="E134" s="9">
        <v>45.71</v>
      </c>
      <c r="F134" s="16">
        <f t="shared" si="11"/>
        <v>0.13673156858455479</v>
      </c>
      <c r="G134" s="40"/>
      <c r="J134" s="9">
        <v>23.33</v>
      </c>
      <c r="K134" s="49">
        <f t="shared" si="5"/>
        <v>32.661999999999999</v>
      </c>
      <c r="L134" s="16">
        <f t="shared" si="12"/>
        <v>0.59083950768477134</v>
      </c>
    </row>
    <row r="135" spans="1:12">
      <c r="A135" s="1" t="s">
        <v>3608</v>
      </c>
      <c r="B135" s="7">
        <v>48.29</v>
      </c>
      <c r="C135" s="9">
        <v>50.04</v>
      </c>
      <c r="D135" s="16">
        <f t="shared" si="10"/>
        <v>3.6239387036653553E-2</v>
      </c>
      <c r="E135" s="9">
        <v>45.71</v>
      </c>
      <c r="F135" s="16">
        <f t="shared" si="11"/>
        <v>9.4727630715379527E-2</v>
      </c>
      <c r="G135" s="40"/>
      <c r="J135" s="9">
        <v>23.33</v>
      </c>
      <c r="K135" s="49">
        <f t="shared" si="5"/>
        <v>32.661999999999999</v>
      </c>
      <c r="L135" s="16">
        <f t="shared" si="12"/>
        <v>0.53205559977956041</v>
      </c>
    </row>
    <row r="136" spans="1:12">
      <c r="A136" s="1" t="s">
        <v>3576</v>
      </c>
      <c r="B136" s="7">
        <v>53.88</v>
      </c>
      <c r="C136" s="9">
        <v>55.63</v>
      </c>
      <c r="D136" s="16">
        <f t="shared" si="10"/>
        <v>3.2479584261321456E-2</v>
      </c>
      <c r="E136" s="9">
        <v>45.71</v>
      </c>
      <c r="F136" s="16">
        <f t="shared" si="11"/>
        <v>0.21702034565740541</v>
      </c>
      <c r="G136" s="40"/>
      <c r="J136" s="9">
        <v>23.33</v>
      </c>
      <c r="K136" s="49">
        <f t="shared" si="5"/>
        <v>32.661999999999999</v>
      </c>
      <c r="L136" s="16">
        <f t="shared" si="12"/>
        <v>0.70320249831608606</v>
      </c>
    </row>
    <row r="137" spans="1:12">
      <c r="A137" s="1" t="s">
        <v>3609</v>
      </c>
      <c r="B137" s="7">
        <v>49.99</v>
      </c>
      <c r="C137" s="9">
        <v>51.74</v>
      </c>
      <c r="D137" s="16">
        <f t="shared" si="10"/>
        <v>3.5007001400280055E-2</v>
      </c>
      <c r="E137" s="9">
        <v>45.71</v>
      </c>
      <c r="F137" s="16">
        <f t="shared" si="11"/>
        <v>0.13191861737037849</v>
      </c>
      <c r="G137" s="40"/>
      <c r="J137" s="9">
        <v>23.33</v>
      </c>
      <c r="K137" s="49">
        <f t="shared" si="5"/>
        <v>32.661999999999999</v>
      </c>
      <c r="L137" s="16">
        <f t="shared" si="12"/>
        <v>0.5841038515706326</v>
      </c>
    </row>
    <row r="138" spans="1:12">
      <c r="A138" s="1" t="s">
        <v>3610</v>
      </c>
      <c r="B138" s="7">
        <v>48.07</v>
      </c>
      <c r="C138" s="9">
        <v>49.82</v>
      </c>
      <c r="D138" s="16">
        <f t="shared" si="10"/>
        <v>3.6405242354899107E-2</v>
      </c>
      <c r="E138" s="9">
        <v>45.71</v>
      </c>
      <c r="F138" s="16">
        <f t="shared" si="11"/>
        <v>8.9914679501203229E-2</v>
      </c>
      <c r="G138" s="40"/>
      <c r="J138" s="9">
        <v>23.33</v>
      </c>
      <c r="K138" s="49">
        <f t="shared" si="5"/>
        <v>32.661999999999999</v>
      </c>
      <c r="L138" s="16">
        <f t="shared" si="12"/>
        <v>0.52531994366542167</v>
      </c>
    </row>
    <row r="139" spans="1:12">
      <c r="A139" s="1" t="s">
        <v>3611</v>
      </c>
      <c r="B139" s="7">
        <v>49.66</v>
      </c>
      <c r="C139" s="9">
        <v>51.41</v>
      </c>
      <c r="D139" s="16">
        <f t="shared" si="10"/>
        <v>3.5239629480467181E-2</v>
      </c>
      <c r="E139" s="9">
        <v>45.71</v>
      </c>
      <c r="F139" s="16">
        <f t="shared" si="11"/>
        <v>0.12469919054911388</v>
      </c>
      <c r="G139" s="40"/>
      <c r="J139" s="9">
        <v>23.33</v>
      </c>
      <c r="K139" s="49">
        <f t="shared" si="5"/>
        <v>32.661999999999999</v>
      </c>
      <c r="L139" s="16">
        <f t="shared" si="12"/>
        <v>0.57400036739942439</v>
      </c>
    </row>
    <row r="140" spans="1:12">
      <c r="A140" s="1" t="s">
        <v>3577</v>
      </c>
      <c r="B140" s="7">
        <v>52.15</v>
      </c>
      <c r="C140" s="9">
        <v>53.9</v>
      </c>
      <c r="D140" s="16">
        <f t="shared" si="10"/>
        <v>3.3557046979865772E-2</v>
      </c>
      <c r="E140" s="9">
        <v>45.71</v>
      </c>
      <c r="F140" s="16">
        <f t="shared" si="11"/>
        <v>0.17917304747320056</v>
      </c>
      <c r="G140" s="40"/>
      <c r="J140" s="9">
        <v>23.33</v>
      </c>
      <c r="K140" s="49">
        <f t="shared" si="5"/>
        <v>32.661999999999999</v>
      </c>
      <c r="L140" s="16">
        <f t="shared" si="12"/>
        <v>0.65023574796399486</v>
      </c>
    </row>
    <row r="141" spans="1:12">
      <c r="A141" s="1" t="s">
        <v>3579</v>
      </c>
      <c r="B141" s="7">
        <v>51.05</v>
      </c>
      <c r="C141" s="9">
        <v>52.8</v>
      </c>
      <c r="D141" s="16">
        <f t="shared" si="10"/>
        <v>3.4280117531831543E-2</v>
      </c>
      <c r="E141" s="9">
        <v>45.71</v>
      </c>
      <c r="F141" s="16">
        <f t="shared" si="11"/>
        <v>0.15510829140231888</v>
      </c>
      <c r="G141" s="40"/>
      <c r="J141" s="9">
        <v>23.33</v>
      </c>
      <c r="K141" s="49">
        <f t="shared" si="5"/>
        <v>32.661999999999999</v>
      </c>
      <c r="L141" s="16">
        <f t="shared" si="12"/>
        <v>0.61655746739330108</v>
      </c>
    </row>
    <row r="142" spans="1:12" ht="25.5">
      <c r="A142" s="1" t="s">
        <v>3602</v>
      </c>
      <c r="B142" s="5" t="s">
        <v>3534</v>
      </c>
      <c r="E142" s="9"/>
      <c r="G142" s="40"/>
      <c r="J142" s="9"/>
      <c r="K142" s="49">
        <f t="shared" si="5"/>
        <v>0</v>
      </c>
      <c r="L142" s="16"/>
    </row>
    <row r="143" spans="1:12" ht="25.5">
      <c r="A143" s="1" t="s">
        <v>3612</v>
      </c>
      <c r="B143" s="1"/>
      <c r="E143" s="9"/>
      <c r="G143" s="40"/>
      <c r="J143" s="9"/>
      <c r="K143" s="49">
        <f t="shared" si="5"/>
        <v>0</v>
      </c>
      <c r="L143" s="16"/>
    </row>
    <row r="144" spans="1:12">
      <c r="A144" s="143"/>
      <c r="B144" s="143"/>
      <c r="E144" s="9"/>
      <c r="G144" s="40"/>
      <c r="J144" s="9"/>
      <c r="K144" s="49">
        <f t="shared" si="5"/>
        <v>0</v>
      </c>
      <c r="L144" s="16"/>
    </row>
    <row r="145" spans="1:12" ht="25.5" customHeight="1">
      <c r="A145" s="2" t="s">
        <v>3693</v>
      </c>
      <c r="B145" s="146" t="s">
        <v>3690</v>
      </c>
      <c r="E145" s="9"/>
      <c r="G145" s="40"/>
      <c r="J145" s="9"/>
      <c r="K145" s="49">
        <f t="shared" si="5"/>
        <v>0</v>
      </c>
      <c r="L145" s="16"/>
    </row>
    <row r="146" spans="1:12">
      <c r="A146" s="3" t="s">
        <v>3569</v>
      </c>
      <c r="B146" s="146"/>
      <c r="E146" s="9"/>
      <c r="G146" s="40"/>
      <c r="J146" s="9"/>
      <c r="K146" s="49">
        <f t="shared" si="5"/>
        <v>0</v>
      </c>
      <c r="L146" s="16"/>
    </row>
    <row r="147" spans="1:12">
      <c r="A147" s="1" t="s">
        <v>3573</v>
      </c>
      <c r="B147" s="7">
        <v>56.1</v>
      </c>
      <c r="C147" s="9">
        <v>57.85</v>
      </c>
      <c r="D147" s="16">
        <f t="shared" ref="D147:D160" si="13">(C147-B147)/B147</f>
        <v>3.1194295900178252E-2</v>
      </c>
      <c r="E147" s="9">
        <v>45.71</v>
      </c>
      <c r="F147" s="16">
        <f t="shared" ref="F147:F160" si="14">(C147-E147)/E147</f>
        <v>0.26558739881863924</v>
      </c>
      <c r="G147" s="40"/>
      <c r="J147" s="9">
        <v>23.33</v>
      </c>
      <c r="K147" s="49">
        <f t="shared" si="5"/>
        <v>32.661999999999999</v>
      </c>
      <c r="L147" s="16">
        <f>(C147-K147)/K147</f>
        <v>0.7711713918314862</v>
      </c>
    </row>
    <row r="148" spans="1:12">
      <c r="A148" s="1" t="s">
        <v>3605</v>
      </c>
      <c r="B148" s="7">
        <v>50.64</v>
      </c>
      <c r="C148" s="9">
        <v>52.39</v>
      </c>
      <c r="D148" s="16">
        <f t="shared" si="13"/>
        <v>3.4557661927330174E-2</v>
      </c>
      <c r="E148" s="9">
        <v>45.71</v>
      </c>
      <c r="F148" s="16">
        <f t="shared" si="14"/>
        <v>0.14613870050317215</v>
      </c>
      <c r="G148" s="40"/>
      <c r="J148" s="9">
        <v>23.33</v>
      </c>
      <c r="K148" s="49">
        <f t="shared" si="5"/>
        <v>32.661999999999999</v>
      </c>
      <c r="L148" s="16">
        <f t="shared" ref="L148:L160" si="15">(C148-K148)/K148</f>
        <v>0.60400465372604251</v>
      </c>
    </row>
    <row r="149" spans="1:12">
      <c r="A149" s="1" t="s">
        <v>3606</v>
      </c>
      <c r="B149" s="7">
        <v>48.72</v>
      </c>
      <c r="C149" s="9">
        <v>50.47</v>
      </c>
      <c r="D149" s="16">
        <f t="shared" si="13"/>
        <v>3.5919540229885055E-2</v>
      </c>
      <c r="E149" s="9">
        <v>45.71</v>
      </c>
      <c r="F149" s="16">
        <f t="shared" si="14"/>
        <v>0.10413476263399689</v>
      </c>
      <c r="G149" s="40"/>
      <c r="J149" s="9">
        <v>23.33</v>
      </c>
      <c r="K149" s="49">
        <f t="shared" si="5"/>
        <v>32.661999999999999</v>
      </c>
      <c r="L149" s="16">
        <f t="shared" si="15"/>
        <v>0.54522074582083158</v>
      </c>
    </row>
    <row r="150" spans="1:12">
      <c r="A150" s="1" t="s">
        <v>3575</v>
      </c>
      <c r="B150" s="7">
        <v>54.56</v>
      </c>
      <c r="C150" s="9">
        <v>56.31</v>
      </c>
      <c r="D150" s="16">
        <f t="shared" si="13"/>
        <v>3.2074780058651026E-2</v>
      </c>
      <c r="E150" s="9">
        <v>45.71</v>
      </c>
      <c r="F150" s="16">
        <f t="shared" si="14"/>
        <v>0.23189674031940496</v>
      </c>
      <c r="G150" s="40"/>
      <c r="J150" s="9">
        <v>23.33</v>
      </c>
      <c r="K150" s="49">
        <f t="shared" ref="K150:K213" si="16">J150*1.4</f>
        <v>32.661999999999999</v>
      </c>
      <c r="L150" s="16">
        <f t="shared" si="15"/>
        <v>0.72402179903251496</v>
      </c>
    </row>
    <row r="151" spans="1:12">
      <c r="A151" s="1" t="s">
        <v>3607</v>
      </c>
      <c r="B151" s="7">
        <v>50.43</v>
      </c>
      <c r="C151" s="9">
        <v>52.18</v>
      </c>
      <c r="D151" s="16">
        <f t="shared" si="13"/>
        <v>3.4701566527860397E-2</v>
      </c>
      <c r="E151" s="9">
        <v>45.71</v>
      </c>
      <c r="F151" s="16">
        <f t="shared" si="14"/>
        <v>0.14154451979873112</v>
      </c>
      <c r="G151" s="40"/>
      <c r="J151" s="9">
        <v>23.33</v>
      </c>
      <c r="K151" s="49">
        <f t="shared" si="16"/>
        <v>32.661999999999999</v>
      </c>
      <c r="L151" s="16">
        <f t="shared" si="15"/>
        <v>0.59757516379891007</v>
      </c>
    </row>
    <row r="152" spans="1:12">
      <c r="A152" s="1" t="s">
        <v>3608</v>
      </c>
      <c r="B152" s="7">
        <v>48.52</v>
      </c>
      <c r="C152" s="9">
        <v>50.27</v>
      </c>
      <c r="D152" s="16">
        <f t="shared" si="13"/>
        <v>3.6067600989282765E-2</v>
      </c>
      <c r="E152" s="9">
        <v>45.71</v>
      </c>
      <c r="F152" s="16">
        <f t="shared" si="14"/>
        <v>9.9759352439291238E-2</v>
      </c>
      <c r="G152" s="40"/>
      <c r="J152" s="9">
        <v>23.33</v>
      </c>
      <c r="K152" s="49">
        <f t="shared" si="16"/>
        <v>32.661999999999999</v>
      </c>
      <c r="L152" s="16">
        <f t="shared" si="15"/>
        <v>0.53909742208070555</v>
      </c>
    </row>
    <row r="153" spans="1:12">
      <c r="A153" s="1" t="s">
        <v>3576</v>
      </c>
      <c r="B153" s="7">
        <v>53.11</v>
      </c>
      <c r="C153" s="9">
        <v>54.86</v>
      </c>
      <c r="D153" s="16">
        <f t="shared" si="13"/>
        <v>3.2950480135567693E-2</v>
      </c>
      <c r="E153" s="9">
        <v>45.71</v>
      </c>
      <c r="F153" s="16">
        <f t="shared" si="14"/>
        <v>0.2001750164077882</v>
      </c>
      <c r="G153" s="40"/>
      <c r="J153" s="9">
        <v>23.33</v>
      </c>
      <c r="K153" s="49">
        <f t="shared" si="16"/>
        <v>32.661999999999999</v>
      </c>
      <c r="L153" s="16">
        <f t="shared" si="15"/>
        <v>0.67962770191660038</v>
      </c>
    </row>
    <row r="154" spans="1:12">
      <c r="A154" s="1" t="s">
        <v>3609</v>
      </c>
      <c r="B154" s="7">
        <v>50.21</v>
      </c>
      <c r="C154" s="9">
        <v>51.96</v>
      </c>
      <c r="D154" s="16">
        <f t="shared" si="13"/>
        <v>3.4853614817765388E-2</v>
      </c>
      <c r="E154" s="9">
        <v>45.71</v>
      </c>
      <c r="F154" s="16">
        <f t="shared" si="14"/>
        <v>0.13673156858455479</v>
      </c>
      <c r="G154" s="40"/>
      <c r="J154" s="9">
        <v>23.33</v>
      </c>
      <c r="K154" s="49">
        <f t="shared" si="16"/>
        <v>32.661999999999999</v>
      </c>
      <c r="L154" s="16">
        <f t="shared" si="15"/>
        <v>0.59083950768477134</v>
      </c>
    </row>
    <row r="155" spans="1:12">
      <c r="A155" s="1" t="s">
        <v>3610</v>
      </c>
      <c r="B155" s="7">
        <v>48.29</v>
      </c>
      <c r="C155" s="9">
        <v>50.04</v>
      </c>
      <c r="D155" s="16">
        <f t="shared" si="13"/>
        <v>3.6239387036653553E-2</v>
      </c>
      <c r="E155" s="9">
        <v>45.71</v>
      </c>
      <c r="F155" s="16">
        <f t="shared" si="14"/>
        <v>9.4727630715379527E-2</v>
      </c>
      <c r="G155" s="40"/>
      <c r="J155" s="9">
        <v>23.33</v>
      </c>
      <c r="K155" s="49">
        <f t="shared" si="16"/>
        <v>32.661999999999999</v>
      </c>
      <c r="L155" s="16">
        <f t="shared" si="15"/>
        <v>0.53205559977956041</v>
      </c>
    </row>
    <row r="156" spans="1:12">
      <c r="A156" s="1" t="s">
        <v>3577</v>
      </c>
      <c r="B156" s="7">
        <v>51.6</v>
      </c>
      <c r="C156" s="9">
        <v>53.35</v>
      </c>
      <c r="D156" s="16">
        <f t="shared" si="13"/>
        <v>3.391472868217054E-2</v>
      </c>
      <c r="E156" s="9">
        <v>45.71</v>
      </c>
      <c r="F156" s="16">
        <f t="shared" si="14"/>
        <v>0.16714066943775979</v>
      </c>
      <c r="G156" s="40"/>
      <c r="J156" s="9">
        <v>23.33</v>
      </c>
      <c r="K156" s="49">
        <f t="shared" si="16"/>
        <v>32.661999999999999</v>
      </c>
      <c r="L156" s="16">
        <f t="shared" si="15"/>
        <v>0.63339660767864803</v>
      </c>
    </row>
    <row r="157" spans="1:12">
      <c r="A157" s="1" t="s">
        <v>3579</v>
      </c>
      <c r="B157" s="7">
        <v>50.49</v>
      </c>
      <c r="C157" s="9">
        <v>52.24</v>
      </c>
      <c r="D157" s="16">
        <f t="shared" si="13"/>
        <v>3.4660328777975834E-2</v>
      </c>
      <c r="E157" s="9">
        <v>45.71</v>
      </c>
      <c r="F157" s="16">
        <f t="shared" si="14"/>
        <v>0.14285714285714288</v>
      </c>
      <c r="G157" s="40"/>
      <c r="J157" s="9">
        <v>23.33</v>
      </c>
      <c r="K157" s="49">
        <f t="shared" si="16"/>
        <v>32.661999999999999</v>
      </c>
      <c r="L157" s="16">
        <f t="shared" si="15"/>
        <v>0.59941216092094796</v>
      </c>
    </row>
    <row r="158" spans="1:12">
      <c r="A158" s="1" t="s">
        <v>3580</v>
      </c>
      <c r="B158" s="7">
        <v>49.38</v>
      </c>
      <c r="C158" s="9">
        <v>51.13</v>
      </c>
      <c r="D158" s="16">
        <f t="shared" si="13"/>
        <v>3.5439449169704332E-2</v>
      </c>
      <c r="E158" s="9">
        <v>45.71</v>
      </c>
      <c r="F158" s="16">
        <f t="shared" si="14"/>
        <v>0.11857361627652596</v>
      </c>
      <c r="G158" s="40"/>
      <c r="J158" s="9">
        <v>23.33</v>
      </c>
      <c r="K158" s="49">
        <f t="shared" si="16"/>
        <v>32.661999999999999</v>
      </c>
      <c r="L158" s="16">
        <f t="shared" si="15"/>
        <v>0.56542771416324789</v>
      </c>
    </row>
    <row r="159" spans="1:12">
      <c r="A159" s="1" t="s">
        <v>3593</v>
      </c>
      <c r="B159" s="7">
        <v>48.42</v>
      </c>
      <c r="C159" s="9">
        <v>50.17</v>
      </c>
      <c r="D159" s="16">
        <f t="shared" si="13"/>
        <v>3.6142090045435768E-2</v>
      </c>
      <c r="E159" s="9">
        <v>45.71</v>
      </c>
      <c r="F159" s="16">
        <f t="shared" si="14"/>
        <v>9.7571647341938322E-2</v>
      </c>
      <c r="G159" s="40"/>
      <c r="J159" s="9">
        <v>23.33</v>
      </c>
      <c r="K159" s="49">
        <f t="shared" si="16"/>
        <v>32.661999999999999</v>
      </c>
      <c r="L159" s="16">
        <f t="shared" si="15"/>
        <v>0.53603576021064248</v>
      </c>
    </row>
    <row r="160" spans="1:12">
      <c r="A160" s="1" t="s">
        <v>3594</v>
      </c>
      <c r="B160" s="7">
        <v>47.46</v>
      </c>
      <c r="C160" s="9">
        <v>49.21</v>
      </c>
      <c r="D160" s="16">
        <f t="shared" si="13"/>
        <v>3.687315634218289E-2</v>
      </c>
      <c r="E160" s="9">
        <v>45.71</v>
      </c>
      <c r="F160" s="16">
        <f t="shared" si="14"/>
        <v>7.6569678407350683E-2</v>
      </c>
      <c r="G160" s="40"/>
      <c r="J160" s="9">
        <v>23.33</v>
      </c>
      <c r="K160" s="49">
        <f t="shared" si="16"/>
        <v>32.661999999999999</v>
      </c>
      <c r="L160" s="16">
        <f t="shared" si="15"/>
        <v>0.50664380625803696</v>
      </c>
    </row>
    <row r="161" spans="1:12">
      <c r="A161" s="1" t="s">
        <v>3614</v>
      </c>
      <c r="B161" s="5" t="s">
        <v>3534</v>
      </c>
      <c r="E161" s="9"/>
      <c r="G161" s="40"/>
      <c r="J161" s="9"/>
      <c r="K161" s="49">
        <f t="shared" si="16"/>
        <v>0</v>
      </c>
      <c r="L161" s="16"/>
    </row>
    <row r="162" spans="1:12" ht="25.5">
      <c r="A162" s="1" t="s">
        <v>3615</v>
      </c>
      <c r="B162" s="5" t="s">
        <v>3534</v>
      </c>
      <c r="E162" s="9"/>
      <c r="G162" s="40"/>
      <c r="J162" s="9"/>
      <c r="K162" s="49">
        <f t="shared" si="16"/>
        <v>0</v>
      </c>
      <c r="L162" s="16"/>
    </row>
    <row r="163" spans="1:12">
      <c r="A163" s="143"/>
      <c r="B163" s="143"/>
      <c r="E163" s="9"/>
      <c r="G163" s="40"/>
      <c r="J163" s="9"/>
      <c r="K163" s="49">
        <f t="shared" si="16"/>
        <v>0</v>
      </c>
      <c r="L163" s="16"/>
    </row>
    <row r="164" spans="1:12" ht="12.75" customHeight="1">
      <c r="A164" s="144" t="s">
        <v>3616</v>
      </c>
      <c r="B164" s="144"/>
      <c r="C164" s="44"/>
      <c r="D164" s="8"/>
      <c r="E164" s="44"/>
      <c r="F164" s="8"/>
      <c r="G164" s="23" t="s">
        <v>3983</v>
      </c>
      <c r="H164" s="43">
        <f>AVERAGE(F165:F172)</f>
        <v>-1.855149896111474E-3</v>
      </c>
      <c r="I164" s="8"/>
      <c r="J164" s="44"/>
      <c r="K164" s="49">
        <f t="shared" si="16"/>
        <v>0</v>
      </c>
      <c r="L164" s="43"/>
    </row>
    <row r="165" spans="1:12">
      <c r="A165" s="1" t="s">
        <v>3617</v>
      </c>
      <c r="B165" s="7">
        <v>32.74</v>
      </c>
      <c r="C165" s="7">
        <v>32.74</v>
      </c>
      <c r="D165" s="16">
        <f t="shared" ref="D165:D172" si="17">(C165-B165)/B165</f>
        <v>0</v>
      </c>
      <c r="E165" s="9">
        <v>33.69</v>
      </c>
      <c r="F165" s="16">
        <f t="shared" ref="F165:F172" si="18">(C165-E165)/E165</f>
        <v>-2.8198278420896283E-2</v>
      </c>
      <c r="G165" s="40"/>
      <c r="J165" s="9"/>
      <c r="K165" s="49">
        <f t="shared" si="16"/>
        <v>0</v>
      </c>
      <c r="L165" s="16"/>
    </row>
    <row r="166" spans="1:12">
      <c r="A166" s="1" t="s">
        <v>3618</v>
      </c>
      <c r="B166" s="7">
        <v>33.590000000000003</v>
      </c>
      <c r="C166" s="7">
        <v>33.590000000000003</v>
      </c>
      <c r="D166" s="16">
        <f t="shared" si="17"/>
        <v>0</v>
      </c>
      <c r="E166" s="9">
        <v>33.69</v>
      </c>
      <c r="F166" s="16">
        <f t="shared" si="18"/>
        <v>-2.9682398337784006E-3</v>
      </c>
      <c r="G166" s="40"/>
      <c r="J166" s="9"/>
      <c r="K166" s="49">
        <f t="shared" si="16"/>
        <v>0</v>
      </c>
      <c r="L166" s="16"/>
    </row>
    <row r="167" spans="1:12">
      <c r="A167" s="1" t="s">
        <v>3619</v>
      </c>
      <c r="B167" s="7">
        <v>33.24</v>
      </c>
      <c r="C167" s="7">
        <v>33.24</v>
      </c>
      <c r="D167" s="16">
        <f t="shared" si="17"/>
        <v>0</v>
      </c>
      <c r="E167" s="9">
        <v>33.69</v>
      </c>
      <c r="F167" s="16">
        <f t="shared" si="18"/>
        <v>-1.3357079252003436E-2</v>
      </c>
      <c r="G167" s="40"/>
      <c r="J167" s="9"/>
      <c r="K167" s="49">
        <f t="shared" si="16"/>
        <v>0</v>
      </c>
      <c r="L167" s="16"/>
    </row>
    <row r="168" spans="1:12">
      <c r="A168" s="1" t="s">
        <v>3620</v>
      </c>
      <c r="B168" s="7">
        <v>33.74</v>
      </c>
      <c r="C168" s="7">
        <v>33.74</v>
      </c>
      <c r="D168" s="16">
        <f t="shared" si="17"/>
        <v>0</v>
      </c>
      <c r="E168" s="9">
        <v>33.69</v>
      </c>
      <c r="F168" s="16">
        <f t="shared" si="18"/>
        <v>1.4841199168894113E-3</v>
      </c>
      <c r="G168" s="40"/>
      <c r="J168" s="9"/>
      <c r="K168" s="49">
        <f t="shared" si="16"/>
        <v>0</v>
      </c>
      <c r="L168" s="16"/>
    </row>
    <row r="169" spans="1:12">
      <c r="A169" s="1" t="s">
        <v>3621</v>
      </c>
      <c r="B169" s="7">
        <v>34.74</v>
      </c>
      <c r="C169" s="7">
        <v>34.74</v>
      </c>
      <c r="D169" s="16">
        <f t="shared" si="17"/>
        <v>0</v>
      </c>
      <c r="E169" s="9">
        <v>33.69</v>
      </c>
      <c r="F169" s="16">
        <f t="shared" si="18"/>
        <v>3.1166518254675108E-2</v>
      </c>
      <c r="G169" s="40"/>
      <c r="J169" s="9"/>
      <c r="K169" s="49">
        <f t="shared" si="16"/>
        <v>0</v>
      </c>
      <c r="L169" s="16"/>
    </row>
    <row r="170" spans="1:12">
      <c r="A170" s="1" t="s">
        <v>3622</v>
      </c>
      <c r="B170" s="7">
        <v>33.24</v>
      </c>
      <c r="C170" s="7">
        <v>33.24</v>
      </c>
      <c r="D170" s="16">
        <f t="shared" si="17"/>
        <v>0</v>
      </c>
      <c r="E170" s="9">
        <v>33.69</v>
      </c>
      <c r="F170" s="16">
        <f t="shared" si="18"/>
        <v>-1.3357079252003436E-2</v>
      </c>
      <c r="G170" s="40"/>
      <c r="J170" s="9"/>
      <c r="K170" s="49">
        <f t="shared" si="16"/>
        <v>0</v>
      </c>
      <c r="L170" s="16"/>
    </row>
    <row r="171" spans="1:12">
      <c r="A171" s="1" t="s">
        <v>3623</v>
      </c>
      <c r="B171" s="7">
        <v>33.74</v>
      </c>
      <c r="C171" s="7">
        <v>33.74</v>
      </c>
      <c r="D171" s="16">
        <f t="shared" si="17"/>
        <v>0</v>
      </c>
      <c r="E171" s="9">
        <v>33.69</v>
      </c>
      <c r="F171" s="16">
        <f t="shared" si="18"/>
        <v>1.4841199168894113E-3</v>
      </c>
      <c r="G171" s="40"/>
      <c r="J171" s="9"/>
      <c r="K171" s="49">
        <f t="shared" si="16"/>
        <v>0</v>
      </c>
      <c r="L171" s="16"/>
    </row>
    <row r="172" spans="1:12" ht="25.5">
      <c r="A172" s="1" t="s">
        <v>3624</v>
      </c>
      <c r="B172" s="7">
        <v>33.99</v>
      </c>
      <c r="C172" s="7">
        <v>33.99</v>
      </c>
      <c r="D172" s="16">
        <f t="shared" si="17"/>
        <v>0</v>
      </c>
      <c r="E172" s="9">
        <v>33.69</v>
      </c>
      <c r="F172" s="16">
        <f t="shared" si="18"/>
        <v>8.9047195013358359E-3</v>
      </c>
      <c r="G172" s="40"/>
      <c r="J172" s="9"/>
      <c r="K172" s="49">
        <f t="shared" si="16"/>
        <v>0</v>
      </c>
      <c r="L172" s="16"/>
    </row>
    <row r="173" spans="1:12" ht="63.75">
      <c r="A173" s="1" t="s">
        <v>3601</v>
      </c>
      <c r="B173" s="1" t="s">
        <v>3625</v>
      </c>
      <c r="E173" s="9"/>
      <c r="G173" s="40"/>
      <c r="J173" s="9"/>
      <c r="K173" s="49">
        <f t="shared" si="16"/>
        <v>0</v>
      </c>
      <c r="L173" s="16"/>
    </row>
    <row r="174" spans="1:12">
      <c r="A174" s="1"/>
      <c r="B174" s="1"/>
      <c r="E174" s="9"/>
      <c r="G174" s="40"/>
      <c r="J174" s="9"/>
      <c r="K174" s="49">
        <f t="shared" si="16"/>
        <v>0</v>
      </c>
      <c r="L174" s="16"/>
    </row>
    <row r="175" spans="1:12">
      <c r="A175" s="2" t="s">
        <v>3626</v>
      </c>
      <c r="B175" s="1"/>
      <c r="E175" s="9"/>
      <c r="G175" s="23" t="s">
        <v>3983</v>
      </c>
      <c r="J175" s="9"/>
      <c r="K175" s="49">
        <f t="shared" si="16"/>
        <v>0</v>
      </c>
      <c r="L175" s="16"/>
    </row>
    <row r="176" spans="1:12">
      <c r="A176" s="1" t="s">
        <v>3627</v>
      </c>
      <c r="B176" s="7">
        <v>58.47</v>
      </c>
      <c r="C176" s="7">
        <v>58.47</v>
      </c>
      <c r="D176" s="16">
        <f>(C176-B176)/B176</f>
        <v>0</v>
      </c>
      <c r="E176" s="9"/>
      <c r="G176" s="40"/>
      <c r="J176" s="9"/>
      <c r="K176" s="49">
        <f t="shared" si="16"/>
        <v>0</v>
      </c>
      <c r="L176" s="16"/>
    </row>
    <row r="177" spans="1:12">
      <c r="A177" s="1" t="s">
        <v>3628</v>
      </c>
      <c r="B177" s="7">
        <v>62.05</v>
      </c>
      <c r="C177" s="7">
        <v>62.05</v>
      </c>
      <c r="D177" s="16">
        <f>(C177-B177)/B177</f>
        <v>0</v>
      </c>
      <c r="E177" s="9"/>
      <c r="G177" s="40"/>
      <c r="J177" s="9"/>
      <c r="K177" s="49">
        <f t="shared" si="16"/>
        <v>0</v>
      </c>
      <c r="L177" s="16"/>
    </row>
    <row r="178" spans="1:12">
      <c r="A178" s="1"/>
      <c r="B178" s="1"/>
      <c r="E178" s="9"/>
      <c r="G178" s="40"/>
      <c r="J178" s="9"/>
      <c r="K178" s="49">
        <f t="shared" si="16"/>
        <v>0</v>
      </c>
      <c r="L178" s="16"/>
    </row>
    <row r="179" spans="1:12" ht="38.25">
      <c r="A179" s="2" t="s">
        <v>3629</v>
      </c>
      <c r="B179" s="3" t="s">
        <v>3510</v>
      </c>
      <c r="C179" s="8" t="s">
        <v>3480</v>
      </c>
      <c r="D179" s="8"/>
      <c r="E179" s="44"/>
      <c r="F179" s="8"/>
      <c r="G179" s="23" t="s">
        <v>3983</v>
      </c>
      <c r="H179" s="43">
        <f>AVERAGE(F180)</f>
        <v>-1.4735052422782545E-2</v>
      </c>
      <c r="I179" s="8"/>
      <c r="J179" s="44"/>
      <c r="K179" s="49">
        <f t="shared" si="16"/>
        <v>0</v>
      </c>
      <c r="L179" s="43"/>
    </row>
    <row r="180" spans="1:12">
      <c r="A180" s="1" t="s">
        <v>3694</v>
      </c>
      <c r="B180" s="7">
        <v>34.270000000000003</v>
      </c>
      <c r="C180" s="9">
        <v>34.770000000000003</v>
      </c>
      <c r="D180" s="16">
        <f>(C180-B180)/B180</f>
        <v>1.4590020426028595E-2</v>
      </c>
      <c r="E180" s="9">
        <v>35.29</v>
      </c>
      <c r="F180" s="16">
        <f>(C180-E180)/E180</f>
        <v>-1.4735052422782545E-2</v>
      </c>
      <c r="G180" s="40"/>
      <c r="J180" s="9"/>
      <c r="K180" s="49">
        <f t="shared" si="16"/>
        <v>0</v>
      </c>
      <c r="L180" s="16"/>
    </row>
    <row r="181" spans="1:12">
      <c r="A181" s="1"/>
      <c r="B181" s="7"/>
      <c r="E181" s="9"/>
      <c r="G181" s="40"/>
      <c r="J181" s="9"/>
      <c r="K181" s="49">
        <f t="shared" si="16"/>
        <v>0</v>
      </c>
      <c r="L181" s="16"/>
    </row>
    <row r="182" spans="1:12">
      <c r="A182" s="2" t="s">
        <v>3632</v>
      </c>
      <c r="B182" s="5" t="s">
        <v>3534</v>
      </c>
      <c r="C182" s="44"/>
      <c r="D182" s="8"/>
      <c r="E182" s="44"/>
      <c r="F182" s="8"/>
      <c r="G182" s="23" t="s">
        <v>3984</v>
      </c>
      <c r="H182" s="8"/>
      <c r="I182" s="43">
        <f>AVERAGE(F183)</f>
        <v>0</v>
      </c>
      <c r="J182" s="44"/>
      <c r="K182" s="49">
        <f t="shared" si="16"/>
        <v>0</v>
      </c>
      <c r="L182" s="43"/>
    </row>
    <row r="183" spans="1:12">
      <c r="A183" s="1" t="s">
        <v>3695</v>
      </c>
      <c r="B183" s="7">
        <v>32.380000000000003</v>
      </c>
      <c r="C183" s="7">
        <v>32.380000000000003</v>
      </c>
      <c r="D183" s="16">
        <f>(C183-B183)/B183</f>
        <v>0</v>
      </c>
      <c r="E183" s="9">
        <v>32.380000000000003</v>
      </c>
      <c r="F183" s="16">
        <f>(C183-E183)/E183</f>
        <v>0</v>
      </c>
      <c r="G183" s="40"/>
      <c r="J183" s="9"/>
      <c r="K183" s="49">
        <f t="shared" si="16"/>
        <v>0</v>
      </c>
      <c r="L183" s="16"/>
    </row>
    <row r="184" spans="1:12">
      <c r="A184" s="1"/>
      <c r="B184" s="1"/>
      <c r="E184" s="9"/>
      <c r="G184" s="40"/>
      <c r="J184" s="9"/>
      <c r="K184" s="49">
        <f t="shared" si="16"/>
        <v>0</v>
      </c>
      <c r="L184" s="16"/>
    </row>
    <row r="185" spans="1:12">
      <c r="A185" s="2" t="s">
        <v>3636</v>
      </c>
      <c r="B185" s="5" t="s">
        <v>3534</v>
      </c>
      <c r="C185" s="8" t="s">
        <v>3483</v>
      </c>
      <c r="D185" s="8"/>
      <c r="E185" s="44"/>
      <c r="F185" s="8"/>
      <c r="G185" s="23" t="s">
        <v>3984</v>
      </c>
      <c r="H185" s="8"/>
      <c r="I185" s="43">
        <f>AVERAGE(F186)</f>
        <v>0</v>
      </c>
      <c r="J185" s="44"/>
      <c r="K185" s="49">
        <f t="shared" si="16"/>
        <v>0</v>
      </c>
      <c r="L185" s="43"/>
    </row>
    <row r="186" spans="1:12">
      <c r="A186" s="1" t="s">
        <v>3696</v>
      </c>
      <c r="B186" s="7">
        <v>27.55</v>
      </c>
      <c r="C186" s="9">
        <v>29.4</v>
      </c>
      <c r="D186" s="16">
        <f>(C186-B186)/B186</f>
        <v>6.7150635208711354E-2</v>
      </c>
      <c r="E186" s="9">
        <v>29.4</v>
      </c>
      <c r="F186" s="16">
        <f>(C186-E186)/E186</f>
        <v>0</v>
      </c>
      <c r="G186" s="40"/>
      <c r="J186" s="9"/>
      <c r="K186" s="49">
        <f t="shared" si="16"/>
        <v>0</v>
      </c>
      <c r="L186" s="16"/>
    </row>
    <row r="187" spans="1:12">
      <c r="A187" s="1"/>
      <c r="B187" s="1"/>
      <c r="E187" s="9"/>
      <c r="G187" s="40"/>
      <c r="J187" s="9"/>
      <c r="K187" s="49">
        <f t="shared" si="16"/>
        <v>0</v>
      </c>
      <c r="L187" s="16"/>
    </row>
    <row r="188" spans="1:12" ht="25.5">
      <c r="A188" s="2" t="s">
        <v>3638</v>
      </c>
      <c r="B188" s="1"/>
      <c r="C188" s="44"/>
      <c r="D188" s="8"/>
      <c r="E188" s="44"/>
      <c r="F188" s="8"/>
      <c r="G188" s="23" t="s">
        <v>3984</v>
      </c>
      <c r="H188" s="8"/>
      <c r="I188" s="43">
        <f>AVERAGE(F189)</f>
        <v>0</v>
      </c>
      <c r="J188" s="44"/>
      <c r="K188" s="49">
        <f t="shared" si="16"/>
        <v>0</v>
      </c>
      <c r="L188" s="43"/>
    </row>
    <row r="189" spans="1:12">
      <c r="A189" s="1" t="s">
        <v>3639</v>
      </c>
      <c r="B189" s="7">
        <v>21.28</v>
      </c>
      <c r="C189" s="7">
        <v>21.28</v>
      </c>
      <c r="D189" s="16">
        <f>(C189-B189)/B189</f>
        <v>0</v>
      </c>
      <c r="E189" s="9">
        <v>21.28</v>
      </c>
      <c r="F189" s="16">
        <f>(C189-E189)/E189</f>
        <v>0</v>
      </c>
      <c r="J189" s="9"/>
      <c r="K189" s="49">
        <f t="shared" si="16"/>
        <v>0</v>
      </c>
      <c r="L189" s="16"/>
    </row>
    <row r="190" spans="1:12">
      <c r="A190" s="1"/>
      <c r="B190" s="1"/>
      <c r="E190" s="9"/>
      <c r="G190" s="40"/>
      <c r="J190" s="9"/>
      <c r="K190" s="49">
        <f t="shared" si="16"/>
        <v>0</v>
      </c>
      <c r="L190" s="16"/>
    </row>
    <row r="191" spans="1:12" ht="38.25">
      <c r="A191" s="2" t="s">
        <v>3640</v>
      </c>
      <c r="B191" s="3" t="s">
        <v>3510</v>
      </c>
      <c r="C191" s="44"/>
      <c r="D191" s="8"/>
      <c r="E191" s="44"/>
      <c r="F191" s="8"/>
      <c r="G191" s="23" t="s">
        <v>3983</v>
      </c>
      <c r="H191" s="43">
        <f>AVERAGE(F192)</f>
        <v>8.8228674319153766E-2</v>
      </c>
      <c r="I191" s="8"/>
      <c r="J191" s="44"/>
      <c r="K191" s="49">
        <f t="shared" si="16"/>
        <v>0</v>
      </c>
      <c r="L191" s="43"/>
    </row>
    <row r="192" spans="1:12">
      <c r="A192" s="1" t="s">
        <v>3697</v>
      </c>
      <c r="B192" s="7">
        <v>46.6</v>
      </c>
      <c r="C192" s="9">
        <v>48.35</v>
      </c>
      <c r="D192" s="16">
        <f>(C192-B192)/B192</f>
        <v>3.7553648068669523E-2</v>
      </c>
      <c r="E192" s="9">
        <v>44.43</v>
      </c>
      <c r="F192" s="16">
        <f>(C192-E192)/E192</f>
        <v>8.8228674319153766E-2</v>
      </c>
      <c r="G192" s="40"/>
      <c r="J192" s="9"/>
      <c r="K192" s="49">
        <f t="shared" si="16"/>
        <v>0</v>
      </c>
      <c r="L192" s="16"/>
    </row>
    <row r="193" spans="1:12">
      <c r="A193" s="1"/>
      <c r="B193" s="1"/>
      <c r="E193" s="9"/>
      <c r="G193" s="40"/>
      <c r="J193" s="9"/>
      <c r="K193" s="49">
        <f t="shared" si="16"/>
        <v>0</v>
      </c>
      <c r="L193" s="16"/>
    </row>
    <row r="194" spans="1:12">
      <c r="A194" s="2" t="s">
        <v>3644</v>
      </c>
      <c r="B194" s="5" t="s">
        <v>3534</v>
      </c>
      <c r="C194" s="8" t="s">
        <v>3481</v>
      </c>
      <c r="D194" s="8"/>
      <c r="E194" s="44"/>
      <c r="F194" s="8"/>
      <c r="G194" s="23" t="s">
        <v>3983</v>
      </c>
      <c r="H194" s="43">
        <f>AVERAGE(F195:F197)</f>
        <v>3.2872503840245829E-2</v>
      </c>
      <c r="I194" s="8"/>
      <c r="J194" s="44"/>
      <c r="K194" s="49">
        <f t="shared" si="16"/>
        <v>0</v>
      </c>
      <c r="L194" s="43"/>
    </row>
    <row r="195" spans="1:12">
      <c r="A195" s="1" t="s">
        <v>3645</v>
      </c>
      <c r="B195" s="7">
        <v>26</v>
      </c>
      <c r="C195" s="9">
        <v>53.45</v>
      </c>
      <c r="D195" s="16">
        <f>(C195-B195)/B195</f>
        <v>1.0557692307692308</v>
      </c>
      <c r="E195" s="9">
        <v>54.25</v>
      </c>
      <c r="F195" s="16">
        <f>(C195-E195)/E195</f>
        <v>-1.4746543778801791E-2</v>
      </c>
      <c r="G195" s="40"/>
      <c r="J195" s="9"/>
      <c r="K195" s="49">
        <f t="shared" si="16"/>
        <v>0</v>
      </c>
      <c r="L195" s="16"/>
    </row>
    <row r="196" spans="1:12">
      <c r="A196" s="1" t="s">
        <v>3646</v>
      </c>
      <c r="B196" s="7">
        <v>26</v>
      </c>
      <c r="C196" s="9">
        <v>56.2</v>
      </c>
      <c r="D196" s="16">
        <f>(C196-B196)/B196</f>
        <v>1.1615384615384616</v>
      </c>
      <c r="E196" s="9">
        <v>54.25</v>
      </c>
      <c r="F196" s="16">
        <f>(C196-E196)/E196</f>
        <v>3.5944700460829544E-2</v>
      </c>
      <c r="G196" s="40"/>
      <c r="J196" s="9"/>
      <c r="K196" s="49">
        <f t="shared" si="16"/>
        <v>0</v>
      </c>
      <c r="L196" s="16"/>
    </row>
    <row r="197" spans="1:12">
      <c r="A197" s="1" t="s">
        <v>3647</v>
      </c>
      <c r="B197" s="7">
        <v>26</v>
      </c>
      <c r="C197" s="9">
        <v>58.45</v>
      </c>
      <c r="D197" s="16">
        <f>(C197-B197)/B197</f>
        <v>1.2480769230769231</v>
      </c>
      <c r="E197" s="9">
        <v>54.25</v>
      </c>
      <c r="F197" s="16">
        <f>(C197-E197)/E197</f>
        <v>7.7419354838709736E-2</v>
      </c>
      <c r="G197" s="40"/>
      <c r="J197" s="9"/>
      <c r="K197" s="49">
        <f t="shared" si="16"/>
        <v>0</v>
      </c>
      <c r="L197" s="16"/>
    </row>
    <row r="198" spans="1:12">
      <c r="A198" s="1"/>
      <c r="B198" s="1"/>
      <c r="E198" s="9"/>
      <c r="G198" s="40"/>
      <c r="J198" s="9"/>
      <c r="K198" s="49">
        <f t="shared" si="16"/>
        <v>0</v>
      </c>
      <c r="L198" s="16"/>
    </row>
    <row r="199" spans="1:12">
      <c r="A199" s="2" t="s">
        <v>3648</v>
      </c>
      <c r="B199" s="1"/>
      <c r="C199" s="44"/>
      <c r="D199" s="8"/>
      <c r="E199" s="44"/>
      <c r="F199" s="8"/>
      <c r="G199" s="23" t="s">
        <v>3984</v>
      </c>
      <c r="H199" s="8"/>
      <c r="I199" s="43">
        <f>AVERAGE(F200)</f>
        <v>0</v>
      </c>
      <c r="J199" s="44"/>
      <c r="K199" s="49">
        <f t="shared" si="16"/>
        <v>0</v>
      </c>
      <c r="L199" s="43"/>
    </row>
    <row r="200" spans="1:12">
      <c r="A200" s="1" t="s">
        <v>3650</v>
      </c>
      <c r="B200" s="7">
        <v>42.14</v>
      </c>
      <c r="C200" s="9">
        <v>25.63</v>
      </c>
      <c r="D200" s="16">
        <f>(C200-B200)/B200</f>
        <v>-0.39178927384907453</v>
      </c>
      <c r="E200" s="9">
        <v>25.63</v>
      </c>
      <c r="F200" s="16">
        <f>(C200-E200)/E200</f>
        <v>0</v>
      </c>
      <c r="G200" s="40"/>
      <c r="J200" s="9"/>
      <c r="K200" s="49">
        <f t="shared" si="16"/>
        <v>0</v>
      </c>
      <c r="L200" s="16"/>
    </row>
    <row r="201" spans="1:12">
      <c r="A201" s="1"/>
      <c r="B201" s="7"/>
      <c r="E201" s="9"/>
      <c r="G201" s="40"/>
      <c r="J201" s="9"/>
      <c r="K201" s="49">
        <f t="shared" si="16"/>
        <v>0</v>
      </c>
      <c r="L201" s="16"/>
    </row>
    <row r="202" spans="1:12">
      <c r="A202" s="2" t="s">
        <v>3651</v>
      </c>
      <c r="B202" s="7"/>
      <c r="C202" s="8" t="s">
        <v>3484</v>
      </c>
      <c r="D202" s="8"/>
      <c r="E202" s="44"/>
      <c r="F202" s="8"/>
      <c r="G202" s="23" t="s">
        <v>3983</v>
      </c>
      <c r="H202" s="43">
        <f>AVERAGE(F203)</f>
        <v>1.227678571428565E-2</v>
      </c>
      <c r="I202" s="8"/>
      <c r="J202" s="44"/>
      <c r="K202" s="49">
        <f t="shared" si="16"/>
        <v>0</v>
      </c>
      <c r="L202" s="43"/>
    </row>
    <row r="203" spans="1:12">
      <c r="A203" s="1" t="s">
        <v>3652</v>
      </c>
      <c r="B203" s="7">
        <v>35.49</v>
      </c>
      <c r="C203" s="9">
        <v>36.28</v>
      </c>
      <c r="D203" s="16">
        <f>(C203-B203)/B203</f>
        <v>2.2259791490560697E-2</v>
      </c>
      <c r="E203" s="9">
        <v>35.840000000000003</v>
      </c>
      <c r="F203" s="16">
        <f>(C203-E203)/E203</f>
        <v>1.227678571428565E-2</v>
      </c>
      <c r="J203" s="9"/>
      <c r="K203" s="49">
        <f t="shared" si="16"/>
        <v>0</v>
      </c>
      <c r="L203" s="16"/>
    </row>
    <row r="204" spans="1:12">
      <c r="A204" s="1"/>
      <c r="B204" s="1"/>
      <c r="E204" s="9"/>
      <c r="G204" s="40"/>
      <c r="J204" s="9"/>
      <c r="K204" s="49">
        <f t="shared" si="16"/>
        <v>0</v>
      </c>
      <c r="L204" s="16"/>
    </row>
    <row r="205" spans="1:12" ht="38.25">
      <c r="A205" s="2" t="s">
        <v>3655</v>
      </c>
      <c r="B205" s="3" t="s">
        <v>3698</v>
      </c>
      <c r="C205" s="8" t="s">
        <v>3480</v>
      </c>
      <c r="D205" s="8"/>
      <c r="E205" s="44"/>
      <c r="F205" s="8"/>
      <c r="G205" s="23" t="s">
        <v>3983</v>
      </c>
      <c r="H205" s="43">
        <f>AVERAGE(F206:F207)</f>
        <v>1.5948057641314864E-2</v>
      </c>
      <c r="I205" s="8"/>
      <c r="J205" s="44"/>
      <c r="K205" s="49">
        <f t="shared" si="16"/>
        <v>0</v>
      </c>
      <c r="L205" s="43"/>
    </row>
    <row r="206" spans="1:12">
      <c r="A206" s="1" t="s">
        <v>3654</v>
      </c>
      <c r="B206" s="7">
        <v>32.479999999999997</v>
      </c>
      <c r="C206" s="9">
        <v>24.77</v>
      </c>
      <c r="D206" s="16">
        <f>(C206-B206)/B206</f>
        <v>-0.23737684729064035</v>
      </c>
      <c r="E206" s="9">
        <v>24.52</v>
      </c>
      <c r="F206" s="16">
        <f>(C206-E206)/E206</f>
        <v>1.0195758564437194E-2</v>
      </c>
      <c r="G206" s="40"/>
      <c r="J206" s="9"/>
      <c r="K206" s="49">
        <f t="shared" si="16"/>
        <v>0</v>
      </c>
      <c r="L206" s="16"/>
    </row>
    <row r="207" spans="1:12" ht="25.5">
      <c r="A207" s="1" t="s">
        <v>3699</v>
      </c>
      <c r="B207" s="7">
        <v>35.99</v>
      </c>
      <c r="C207" s="9">
        <v>34.369999999999997</v>
      </c>
      <c r="D207" s="16">
        <f>(C207-B207)/B207</f>
        <v>-4.5012503473187117E-2</v>
      </c>
      <c r="E207" s="9">
        <v>33.64</v>
      </c>
      <c r="F207" s="16">
        <f>(C207-E207)/E207</f>
        <v>2.1700356718192534E-2</v>
      </c>
      <c r="G207" s="23" t="s">
        <v>3983</v>
      </c>
      <c r="H207" s="43">
        <f>AVERAGE(F207)</f>
        <v>2.1700356718192534E-2</v>
      </c>
      <c r="J207" s="9"/>
      <c r="K207" s="49">
        <f t="shared" si="16"/>
        <v>0</v>
      </c>
      <c r="L207" s="16"/>
    </row>
    <row r="208" spans="1:12">
      <c r="A208" s="1"/>
      <c r="B208" s="1"/>
      <c r="E208" s="9"/>
      <c r="G208" s="40"/>
      <c r="J208" s="9"/>
      <c r="K208" s="49">
        <f t="shared" si="16"/>
        <v>0</v>
      </c>
      <c r="L208" s="16"/>
    </row>
    <row r="209" spans="1:12" ht="51">
      <c r="A209" s="2" t="s">
        <v>3662</v>
      </c>
      <c r="B209" s="3" t="s">
        <v>3547</v>
      </c>
      <c r="C209" s="17" t="s">
        <v>3485</v>
      </c>
      <c r="D209" s="8"/>
      <c r="E209" s="44"/>
      <c r="F209" s="8"/>
      <c r="G209" s="23"/>
      <c r="H209" s="8"/>
      <c r="I209" s="8"/>
      <c r="J209" s="44"/>
      <c r="K209" s="49">
        <f t="shared" si="16"/>
        <v>0</v>
      </c>
      <c r="L209" s="43"/>
    </row>
    <row r="210" spans="1:12">
      <c r="A210" s="1" t="s">
        <v>3663</v>
      </c>
      <c r="B210" s="7">
        <v>30.82</v>
      </c>
      <c r="C210" s="7">
        <v>30.82</v>
      </c>
      <c r="D210" s="16">
        <f>(C210-B210)/B210</f>
        <v>0</v>
      </c>
      <c r="E210" s="9"/>
      <c r="G210" s="40"/>
      <c r="J210" s="9"/>
      <c r="K210" s="49">
        <f t="shared" si="16"/>
        <v>0</v>
      </c>
      <c r="L210" s="16"/>
    </row>
    <row r="211" spans="1:12">
      <c r="A211" s="143"/>
      <c r="B211" s="143"/>
      <c r="E211" s="9"/>
      <c r="G211" s="40"/>
      <c r="J211" s="9"/>
      <c r="K211" s="49">
        <f t="shared" si="16"/>
        <v>0</v>
      </c>
      <c r="L211" s="16"/>
    </row>
    <row r="212" spans="1:12">
      <c r="A212" s="2" t="s">
        <v>3664</v>
      </c>
      <c r="B212" s="1"/>
      <c r="E212" s="9"/>
      <c r="G212" s="40"/>
      <c r="J212" s="9"/>
      <c r="K212" s="49">
        <f t="shared" si="16"/>
        <v>0</v>
      </c>
      <c r="L212" s="16"/>
    </row>
    <row r="213" spans="1:12" ht="38.25" customHeight="1">
      <c r="A213" s="145" t="s">
        <v>3700</v>
      </c>
      <c r="B213" s="145"/>
      <c r="C213" s="44"/>
      <c r="D213" s="8"/>
      <c r="E213" s="44"/>
      <c r="F213" s="8"/>
      <c r="G213" s="23" t="s">
        <v>3984</v>
      </c>
      <c r="H213" s="8"/>
      <c r="I213" s="43">
        <f>AVERAGE(F214)</f>
        <v>0</v>
      </c>
      <c r="J213" s="44"/>
      <c r="K213" s="49">
        <f t="shared" si="16"/>
        <v>0</v>
      </c>
      <c r="L213" s="43"/>
    </row>
    <row r="214" spans="1:12">
      <c r="A214" s="1" t="s">
        <v>3701</v>
      </c>
      <c r="B214" s="7">
        <v>20.8</v>
      </c>
      <c r="C214" s="9">
        <v>19.649999999999999</v>
      </c>
      <c r="D214" s="16">
        <f t="shared" ref="D214:D224" si="19">(C214-B214)/B214</f>
        <v>-5.528846153846164E-2</v>
      </c>
      <c r="E214" s="9">
        <v>19.649999999999999</v>
      </c>
      <c r="F214" s="16">
        <f t="shared" ref="F214:F228" si="20">(C214-E214)/E214</f>
        <v>0</v>
      </c>
      <c r="G214" s="40"/>
      <c r="J214" s="9">
        <v>15.9</v>
      </c>
      <c r="K214" s="49">
        <f t="shared" ref="K214:K273" si="21">J214*1.4</f>
        <v>22.259999999999998</v>
      </c>
      <c r="L214" s="16">
        <f>(C214-K214)/K214</f>
        <v>-0.11725067385444743</v>
      </c>
    </row>
    <row r="215" spans="1:12">
      <c r="A215" s="1" t="s">
        <v>3702</v>
      </c>
      <c r="B215" s="7">
        <v>20.8</v>
      </c>
      <c r="C215" s="9">
        <v>19.649999999999999</v>
      </c>
      <c r="D215" s="16">
        <f t="shared" si="19"/>
        <v>-5.528846153846164E-2</v>
      </c>
      <c r="E215" s="9">
        <v>19.649999999999999</v>
      </c>
      <c r="F215" s="16">
        <f t="shared" si="20"/>
        <v>0</v>
      </c>
      <c r="G215" s="40"/>
      <c r="J215" s="9">
        <v>15.9</v>
      </c>
      <c r="K215" s="49">
        <f t="shared" si="21"/>
        <v>22.259999999999998</v>
      </c>
      <c r="L215" s="16">
        <f t="shared" ref="L215:L224" si="22">(C215-K215)/K215</f>
        <v>-0.11725067385444743</v>
      </c>
    </row>
    <row r="216" spans="1:12">
      <c r="A216" s="1" t="s">
        <v>3703</v>
      </c>
      <c r="B216" s="7">
        <v>20.8</v>
      </c>
      <c r="C216" s="9">
        <v>19.649999999999999</v>
      </c>
      <c r="D216" s="16">
        <f t="shared" si="19"/>
        <v>-5.528846153846164E-2</v>
      </c>
      <c r="E216" s="9">
        <v>19.649999999999999</v>
      </c>
      <c r="F216" s="16">
        <f t="shared" si="20"/>
        <v>0</v>
      </c>
      <c r="G216" s="40"/>
      <c r="J216" s="9">
        <v>15.9</v>
      </c>
      <c r="K216" s="49">
        <f t="shared" si="21"/>
        <v>22.259999999999998</v>
      </c>
      <c r="L216" s="16">
        <f t="shared" si="22"/>
        <v>-0.11725067385444743</v>
      </c>
    </row>
    <row r="217" spans="1:12" ht="25.5">
      <c r="A217" s="1" t="s">
        <v>3704</v>
      </c>
      <c r="B217" s="7">
        <v>20.8</v>
      </c>
      <c r="C217" s="9">
        <v>19.649999999999999</v>
      </c>
      <c r="D217" s="16">
        <f t="shared" si="19"/>
        <v>-5.528846153846164E-2</v>
      </c>
      <c r="E217" s="9">
        <v>19.649999999999999</v>
      </c>
      <c r="F217" s="16">
        <f t="shared" si="20"/>
        <v>0</v>
      </c>
      <c r="G217" s="40"/>
      <c r="J217" s="9">
        <v>15.9</v>
      </c>
      <c r="K217" s="49">
        <f t="shared" si="21"/>
        <v>22.259999999999998</v>
      </c>
      <c r="L217" s="16">
        <f t="shared" si="22"/>
        <v>-0.11725067385444743</v>
      </c>
    </row>
    <row r="218" spans="1:12" ht="25.5">
      <c r="A218" s="1" t="s">
        <v>3705</v>
      </c>
      <c r="B218" s="7">
        <v>20.8</v>
      </c>
      <c r="C218" s="9">
        <v>19.649999999999999</v>
      </c>
      <c r="D218" s="16">
        <f t="shared" si="19"/>
        <v>-5.528846153846164E-2</v>
      </c>
      <c r="E218" s="9">
        <v>19.649999999999999</v>
      </c>
      <c r="F218" s="16">
        <f t="shared" si="20"/>
        <v>0</v>
      </c>
      <c r="G218" s="40"/>
      <c r="J218" s="9">
        <v>15.9</v>
      </c>
      <c r="K218" s="49">
        <f t="shared" si="21"/>
        <v>22.259999999999998</v>
      </c>
      <c r="L218" s="16">
        <f t="shared" si="22"/>
        <v>-0.11725067385444743</v>
      </c>
    </row>
    <row r="219" spans="1:12" ht="25.5">
      <c r="A219" s="1" t="s">
        <v>3706</v>
      </c>
      <c r="B219" s="7">
        <v>20.8</v>
      </c>
      <c r="C219" s="9">
        <v>19.649999999999999</v>
      </c>
      <c r="D219" s="16">
        <f t="shared" si="19"/>
        <v>-5.528846153846164E-2</v>
      </c>
      <c r="E219" s="9">
        <v>19.649999999999999</v>
      </c>
      <c r="F219" s="16">
        <f t="shared" si="20"/>
        <v>0</v>
      </c>
      <c r="G219" s="40"/>
      <c r="J219" s="9">
        <v>15.9</v>
      </c>
      <c r="K219" s="49">
        <f t="shared" si="21"/>
        <v>22.259999999999998</v>
      </c>
      <c r="L219" s="16">
        <f t="shared" si="22"/>
        <v>-0.11725067385444743</v>
      </c>
    </row>
    <row r="220" spans="1:12" ht="25.5">
      <c r="A220" s="1" t="s">
        <v>3707</v>
      </c>
      <c r="B220" s="7">
        <v>20.8</v>
      </c>
      <c r="C220" s="9">
        <v>19.649999999999999</v>
      </c>
      <c r="D220" s="16">
        <f t="shared" si="19"/>
        <v>-5.528846153846164E-2</v>
      </c>
      <c r="E220" s="9">
        <v>19.649999999999999</v>
      </c>
      <c r="F220" s="16">
        <f t="shared" si="20"/>
        <v>0</v>
      </c>
      <c r="G220" s="40"/>
      <c r="J220" s="9">
        <v>15.9</v>
      </c>
      <c r="K220" s="49">
        <f t="shared" si="21"/>
        <v>22.259999999999998</v>
      </c>
      <c r="L220" s="16">
        <f t="shared" si="22"/>
        <v>-0.11725067385444743</v>
      </c>
    </row>
    <row r="221" spans="1:12" ht="25.5">
      <c r="A221" s="1" t="s">
        <v>3708</v>
      </c>
      <c r="B221" s="7">
        <v>20.8</v>
      </c>
      <c r="C221" s="9">
        <v>19.649999999999999</v>
      </c>
      <c r="D221" s="16">
        <f t="shared" si="19"/>
        <v>-5.528846153846164E-2</v>
      </c>
      <c r="E221" s="9">
        <v>19.649999999999999</v>
      </c>
      <c r="F221" s="16">
        <f t="shared" si="20"/>
        <v>0</v>
      </c>
      <c r="G221" s="40"/>
      <c r="J221" s="9">
        <v>15.9</v>
      </c>
      <c r="K221" s="49">
        <f t="shared" si="21"/>
        <v>22.259999999999998</v>
      </c>
      <c r="L221" s="16">
        <f t="shared" si="22"/>
        <v>-0.11725067385444743</v>
      </c>
    </row>
    <row r="222" spans="1:12" ht="25.5">
      <c r="A222" s="1" t="s">
        <v>3709</v>
      </c>
      <c r="B222" s="7">
        <v>20.8</v>
      </c>
      <c r="C222" s="9">
        <v>19.649999999999999</v>
      </c>
      <c r="D222" s="16">
        <f t="shared" si="19"/>
        <v>-5.528846153846164E-2</v>
      </c>
      <c r="E222" s="9">
        <v>19.649999999999999</v>
      </c>
      <c r="F222" s="16">
        <f t="shared" si="20"/>
        <v>0</v>
      </c>
      <c r="G222" s="40"/>
      <c r="J222" s="9">
        <v>15.9</v>
      </c>
      <c r="K222" s="49">
        <f t="shared" si="21"/>
        <v>22.259999999999998</v>
      </c>
      <c r="L222" s="16">
        <f t="shared" si="22"/>
        <v>-0.11725067385444743</v>
      </c>
    </row>
    <row r="223" spans="1:12" ht="25.5">
      <c r="A223" s="1" t="s">
        <v>3710</v>
      </c>
      <c r="B223" s="7">
        <v>20.8</v>
      </c>
      <c r="C223" s="9">
        <v>19.649999999999999</v>
      </c>
      <c r="D223" s="16">
        <f t="shared" si="19"/>
        <v>-5.528846153846164E-2</v>
      </c>
      <c r="E223" s="9">
        <v>19.649999999999999</v>
      </c>
      <c r="F223" s="16">
        <f t="shared" si="20"/>
        <v>0</v>
      </c>
      <c r="G223" s="40"/>
      <c r="J223" s="9">
        <v>15.9</v>
      </c>
      <c r="K223" s="49">
        <f t="shared" si="21"/>
        <v>22.259999999999998</v>
      </c>
      <c r="L223" s="16">
        <f t="shared" si="22"/>
        <v>-0.11725067385444743</v>
      </c>
    </row>
    <row r="224" spans="1:12">
      <c r="A224" s="1" t="s">
        <v>3711</v>
      </c>
      <c r="B224" s="7">
        <v>20.8</v>
      </c>
      <c r="C224" s="9">
        <v>19.649999999999999</v>
      </c>
      <c r="D224" s="16">
        <f t="shared" si="19"/>
        <v>-5.528846153846164E-2</v>
      </c>
      <c r="E224" s="9">
        <v>19.649999999999999</v>
      </c>
      <c r="F224" s="16">
        <f t="shared" si="20"/>
        <v>0</v>
      </c>
      <c r="G224" s="40"/>
      <c r="J224" s="9">
        <v>15.9</v>
      </c>
      <c r="K224" s="49">
        <f t="shared" si="21"/>
        <v>22.259999999999998</v>
      </c>
      <c r="L224" s="16">
        <f t="shared" si="22"/>
        <v>-0.11725067385444743</v>
      </c>
    </row>
    <row r="225" spans="1:12">
      <c r="A225" s="6" t="s">
        <v>3712</v>
      </c>
      <c r="B225" s="1"/>
      <c r="E225" s="9"/>
      <c r="F225" s="16"/>
      <c r="G225" s="40"/>
      <c r="J225" s="9"/>
      <c r="K225" s="49">
        <f t="shared" si="21"/>
        <v>0</v>
      </c>
      <c r="L225" s="16"/>
    </row>
    <row r="226" spans="1:12">
      <c r="A226" s="1" t="s">
        <v>3713</v>
      </c>
      <c r="B226" s="7">
        <v>20.8</v>
      </c>
      <c r="C226" s="9">
        <v>19.649999999999999</v>
      </c>
      <c r="D226" s="16">
        <f>(C226-B226)/B226</f>
        <v>-5.528846153846164E-2</v>
      </c>
      <c r="E226" s="9">
        <v>19.649999999999999</v>
      </c>
      <c r="F226" s="16">
        <f t="shared" si="20"/>
        <v>0</v>
      </c>
      <c r="G226" s="40"/>
      <c r="J226" s="9">
        <v>15.9</v>
      </c>
      <c r="K226" s="49">
        <f t="shared" si="21"/>
        <v>22.259999999999998</v>
      </c>
      <c r="L226" s="16">
        <f>(C226-K226)/K226</f>
        <v>-0.11725067385444743</v>
      </c>
    </row>
    <row r="227" spans="1:12">
      <c r="A227" s="1" t="s">
        <v>3714</v>
      </c>
      <c r="B227" s="7">
        <v>20.8</v>
      </c>
      <c r="C227" s="9">
        <v>19.649999999999999</v>
      </c>
      <c r="D227" s="16">
        <f>(C227-B227)/B227</f>
        <v>-5.528846153846164E-2</v>
      </c>
      <c r="E227" s="9">
        <v>19.649999999999999</v>
      </c>
      <c r="F227" s="16">
        <f t="shared" si="20"/>
        <v>0</v>
      </c>
      <c r="G227" s="40"/>
      <c r="J227" s="9">
        <v>15.9</v>
      </c>
      <c r="K227" s="49">
        <f t="shared" si="21"/>
        <v>22.259999999999998</v>
      </c>
      <c r="L227" s="16">
        <f t="shared" ref="L227:L228" si="23">(C227-K227)/K227</f>
        <v>-0.11725067385444743</v>
      </c>
    </row>
    <row r="228" spans="1:12">
      <c r="A228" s="1" t="s">
        <v>3715</v>
      </c>
      <c r="B228" s="7">
        <v>20.8</v>
      </c>
      <c r="C228" s="9">
        <v>19.649999999999999</v>
      </c>
      <c r="D228" s="16">
        <f>(C228-B228)/B228</f>
        <v>-5.528846153846164E-2</v>
      </c>
      <c r="E228" s="9">
        <v>19.649999999999999</v>
      </c>
      <c r="F228" s="16">
        <f t="shared" si="20"/>
        <v>0</v>
      </c>
      <c r="G228" s="40"/>
      <c r="J228" s="9">
        <v>15.9</v>
      </c>
      <c r="K228" s="49">
        <f t="shared" si="21"/>
        <v>22.259999999999998</v>
      </c>
      <c r="L228" s="16">
        <f t="shared" si="23"/>
        <v>-0.11725067385444743</v>
      </c>
    </row>
    <row r="229" spans="1:12">
      <c r="A229" s="6" t="s">
        <v>3716</v>
      </c>
      <c r="B229" s="1"/>
      <c r="E229" s="9"/>
      <c r="G229" s="40"/>
      <c r="J229" s="9"/>
      <c r="K229" s="49">
        <f t="shared" si="21"/>
        <v>0</v>
      </c>
      <c r="L229" s="16"/>
    </row>
    <row r="230" spans="1:12" ht="25.5">
      <c r="A230" s="1" t="s">
        <v>3717</v>
      </c>
      <c r="B230" s="1"/>
      <c r="E230" s="9"/>
      <c r="G230" s="40"/>
      <c r="J230" s="9"/>
      <c r="K230" s="49">
        <f t="shared" si="21"/>
        <v>0</v>
      </c>
      <c r="L230" s="16"/>
    </row>
    <row r="231" spans="1:12" ht="25.5">
      <c r="A231" s="1" t="s">
        <v>3718</v>
      </c>
      <c r="B231" s="1"/>
      <c r="E231" s="9"/>
      <c r="G231" s="40"/>
      <c r="J231" s="9"/>
      <c r="K231" s="49">
        <f t="shared" si="21"/>
        <v>0</v>
      </c>
      <c r="L231" s="16"/>
    </row>
    <row r="232" spans="1:12">
      <c r="A232" s="1" t="s">
        <v>3719</v>
      </c>
      <c r="B232" s="1"/>
      <c r="E232" s="9"/>
      <c r="G232" s="40"/>
      <c r="J232" s="9"/>
      <c r="K232" s="49">
        <f t="shared" si="21"/>
        <v>0</v>
      </c>
      <c r="L232" s="16"/>
    </row>
    <row r="233" spans="1:12">
      <c r="A233" s="6" t="s">
        <v>3720</v>
      </c>
      <c r="B233" s="1"/>
      <c r="E233" s="9"/>
      <c r="G233" s="40"/>
      <c r="J233" s="9"/>
      <c r="K233" s="49">
        <f t="shared" si="21"/>
        <v>0</v>
      </c>
      <c r="L233" s="16"/>
    </row>
    <row r="234" spans="1:12">
      <c r="A234" s="1" t="s">
        <v>3721</v>
      </c>
      <c r="B234" s="7">
        <v>20.8</v>
      </c>
      <c r="C234" s="9">
        <v>19.649999999999999</v>
      </c>
      <c r="D234" s="16">
        <f t="shared" ref="D234:D261" si="24">(C234-B234)/B234</f>
        <v>-5.528846153846164E-2</v>
      </c>
      <c r="E234" s="9">
        <v>19.649999999999999</v>
      </c>
      <c r="F234" s="16">
        <f t="shared" ref="F234:F241" si="25">(C234-E234)/E234</f>
        <v>0</v>
      </c>
      <c r="G234" s="40"/>
      <c r="J234" s="9">
        <v>15.9</v>
      </c>
      <c r="K234" s="49">
        <f t="shared" si="21"/>
        <v>22.259999999999998</v>
      </c>
      <c r="L234" s="16">
        <f>(C234-K234)/K234</f>
        <v>-0.11725067385444743</v>
      </c>
    </row>
    <row r="235" spans="1:12">
      <c r="A235" s="1" t="s">
        <v>3722</v>
      </c>
      <c r="B235" s="7">
        <v>20.8</v>
      </c>
      <c r="C235" s="9">
        <v>19.649999999999999</v>
      </c>
      <c r="D235" s="16">
        <f t="shared" si="24"/>
        <v>-5.528846153846164E-2</v>
      </c>
      <c r="E235" s="9">
        <v>19.649999999999999</v>
      </c>
      <c r="F235" s="16">
        <f t="shared" si="25"/>
        <v>0</v>
      </c>
      <c r="G235" s="40"/>
      <c r="J235" s="9">
        <v>15.9</v>
      </c>
      <c r="K235" s="49">
        <f t="shared" si="21"/>
        <v>22.259999999999998</v>
      </c>
      <c r="L235" s="16">
        <f>(C235-K235)/K235</f>
        <v>-0.11725067385444743</v>
      </c>
    </row>
    <row r="236" spans="1:12" ht="102">
      <c r="A236" s="1" t="s">
        <v>3723</v>
      </c>
      <c r="B236" s="7">
        <v>20.8</v>
      </c>
      <c r="C236" s="9">
        <v>19.649999999999999</v>
      </c>
      <c r="D236" s="16">
        <f t="shared" si="24"/>
        <v>-5.528846153846164E-2</v>
      </c>
      <c r="E236" s="9">
        <v>19.649999999999999</v>
      </c>
      <c r="F236" s="16">
        <f t="shared" si="25"/>
        <v>0</v>
      </c>
      <c r="G236" s="40"/>
      <c r="J236" s="9">
        <v>15.9</v>
      </c>
      <c r="K236" s="49">
        <f t="shared" si="21"/>
        <v>22.259999999999998</v>
      </c>
      <c r="L236" s="16">
        <f t="shared" ref="L236:L246" si="26">(C236-K236)/K236</f>
        <v>-0.11725067385444743</v>
      </c>
    </row>
    <row r="237" spans="1:12">
      <c r="A237" s="1" t="s">
        <v>3724</v>
      </c>
      <c r="B237" s="7">
        <v>20.8</v>
      </c>
      <c r="C237" s="9">
        <v>19.649999999999999</v>
      </c>
      <c r="D237" s="16">
        <f t="shared" si="24"/>
        <v>-5.528846153846164E-2</v>
      </c>
      <c r="E237" s="9">
        <v>19.649999999999999</v>
      </c>
      <c r="F237" s="16">
        <f t="shared" si="25"/>
        <v>0</v>
      </c>
      <c r="G237" s="40"/>
      <c r="J237" s="9">
        <v>15.9</v>
      </c>
      <c r="K237" s="49">
        <f t="shared" si="21"/>
        <v>22.259999999999998</v>
      </c>
      <c r="L237" s="16">
        <f t="shared" si="26"/>
        <v>-0.11725067385444743</v>
      </c>
    </row>
    <row r="238" spans="1:12" ht="25.5">
      <c r="A238" s="1" t="s">
        <v>3725</v>
      </c>
      <c r="B238" s="7">
        <v>20.8</v>
      </c>
      <c r="C238" s="9">
        <v>19.649999999999999</v>
      </c>
      <c r="D238" s="16">
        <f t="shared" si="24"/>
        <v>-5.528846153846164E-2</v>
      </c>
      <c r="E238" s="9">
        <v>19.649999999999999</v>
      </c>
      <c r="F238" s="16">
        <f t="shared" si="25"/>
        <v>0</v>
      </c>
      <c r="G238" s="40"/>
      <c r="J238" s="9">
        <v>15.9</v>
      </c>
      <c r="K238" s="49">
        <f t="shared" si="21"/>
        <v>22.259999999999998</v>
      </c>
      <c r="L238" s="16">
        <f t="shared" si="26"/>
        <v>-0.11725067385444743</v>
      </c>
    </row>
    <row r="239" spans="1:12">
      <c r="A239" s="1" t="s">
        <v>3726</v>
      </c>
      <c r="B239" s="7">
        <v>20.8</v>
      </c>
      <c r="C239" s="9">
        <v>19.649999999999999</v>
      </c>
      <c r="D239" s="16">
        <f t="shared" si="24"/>
        <v>-5.528846153846164E-2</v>
      </c>
      <c r="E239" s="9">
        <v>19.649999999999999</v>
      </c>
      <c r="F239" s="16">
        <f t="shared" si="25"/>
        <v>0</v>
      </c>
      <c r="G239" s="40"/>
      <c r="J239" s="9">
        <v>15.9</v>
      </c>
      <c r="K239" s="49">
        <f t="shared" si="21"/>
        <v>22.259999999999998</v>
      </c>
      <c r="L239" s="16">
        <f t="shared" si="26"/>
        <v>-0.11725067385444743</v>
      </c>
    </row>
    <row r="240" spans="1:12" ht="25.5">
      <c r="A240" s="1" t="s">
        <v>3727</v>
      </c>
      <c r="B240" s="7">
        <v>20.8</v>
      </c>
      <c r="C240" s="9">
        <v>19.649999999999999</v>
      </c>
      <c r="D240" s="16">
        <f t="shared" si="24"/>
        <v>-5.528846153846164E-2</v>
      </c>
      <c r="E240" s="9">
        <v>19.649999999999999</v>
      </c>
      <c r="F240" s="16">
        <f t="shared" si="25"/>
        <v>0</v>
      </c>
      <c r="G240" s="40"/>
      <c r="J240" s="9">
        <v>15.9</v>
      </c>
      <c r="K240" s="49">
        <f t="shared" si="21"/>
        <v>22.259999999999998</v>
      </c>
      <c r="L240" s="16">
        <f t="shared" si="26"/>
        <v>-0.11725067385444743</v>
      </c>
    </row>
    <row r="241" spans="1:12">
      <c r="A241" s="1" t="s">
        <v>3728</v>
      </c>
      <c r="B241" s="7">
        <v>20.8</v>
      </c>
      <c r="C241" s="9">
        <v>19.649999999999999</v>
      </c>
      <c r="D241" s="16">
        <f t="shared" si="24"/>
        <v>-5.528846153846164E-2</v>
      </c>
      <c r="E241" s="9">
        <v>19.649999999999999</v>
      </c>
      <c r="F241" s="16">
        <f t="shared" si="25"/>
        <v>0</v>
      </c>
      <c r="G241" s="40"/>
      <c r="J241" s="9">
        <v>15.9</v>
      </c>
      <c r="K241" s="49">
        <f t="shared" si="21"/>
        <v>22.259999999999998</v>
      </c>
      <c r="L241" s="16">
        <f t="shared" si="26"/>
        <v>-0.11725067385444743</v>
      </c>
    </row>
    <row r="242" spans="1:12">
      <c r="A242" s="6" t="s">
        <v>3729</v>
      </c>
      <c r="B242" s="7"/>
      <c r="D242" s="16"/>
      <c r="E242" s="9"/>
      <c r="G242" s="40"/>
      <c r="J242" s="9"/>
      <c r="K242" s="49">
        <f t="shared" si="21"/>
        <v>0</v>
      </c>
      <c r="L242" s="16"/>
    </row>
    <row r="243" spans="1:12">
      <c r="A243" s="1" t="s">
        <v>3730</v>
      </c>
      <c r="B243" s="7">
        <v>20.8</v>
      </c>
      <c r="C243" s="9">
        <v>19.649999999999999</v>
      </c>
      <c r="D243" s="16">
        <f t="shared" si="24"/>
        <v>-5.528846153846164E-2</v>
      </c>
      <c r="E243" s="9">
        <v>19.649999999999999</v>
      </c>
      <c r="F243" s="16">
        <f t="shared" ref="F243:F261" si="27">(C243-E243)/E243</f>
        <v>0</v>
      </c>
      <c r="G243" s="40"/>
      <c r="J243" s="9">
        <v>15.9</v>
      </c>
      <c r="K243" s="49">
        <f t="shared" si="21"/>
        <v>22.259999999999998</v>
      </c>
      <c r="L243" s="16">
        <f t="shared" si="26"/>
        <v>-0.11725067385444743</v>
      </c>
    </row>
    <row r="244" spans="1:12">
      <c r="A244" s="1" t="s">
        <v>3731</v>
      </c>
      <c r="B244" s="7">
        <v>20.8</v>
      </c>
      <c r="C244" s="9">
        <v>19.649999999999999</v>
      </c>
      <c r="D244" s="16">
        <f t="shared" si="24"/>
        <v>-5.528846153846164E-2</v>
      </c>
      <c r="E244" s="9">
        <v>19.649999999999999</v>
      </c>
      <c r="F244" s="16">
        <f t="shared" si="27"/>
        <v>0</v>
      </c>
      <c r="G244" s="40"/>
      <c r="J244" s="9">
        <v>15.9</v>
      </c>
      <c r="K244" s="49">
        <f t="shared" si="21"/>
        <v>22.259999999999998</v>
      </c>
      <c r="L244" s="16">
        <f t="shared" si="26"/>
        <v>-0.11725067385444743</v>
      </c>
    </row>
    <row r="245" spans="1:12" ht="25.5">
      <c r="A245" s="1" t="s">
        <v>3732</v>
      </c>
      <c r="B245" s="7">
        <v>20.8</v>
      </c>
      <c r="C245" s="9">
        <v>19.649999999999999</v>
      </c>
      <c r="D245" s="16">
        <f t="shared" si="24"/>
        <v>-5.528846153846164E-2</v>
      </c>
      <c r="E245" s="9">
        <v>19.649999999999999</v>
      </c>
      <c r="F245" s="16">
        <f t="shared" si="27"/>
        <v>0</v>
      </c>
      <c r="G245" s="40"/>
      <c r="J245" s="9">
        <v>15.9</v>
      </c>
      <c r="K245" s="49">
        <f t="shared" si="21"/>
        <v>22.259999999999998</v>
      </c>
      <c r="L245" s="16">
        <f t="shared" si="26"/>
        <v>-0.11725067385444743</v>
      </c>
    </row>
    <row r="246" spans="1:12">
      <c r="A246" s="1" t="s">
        <v>3733</v>
      </c>
      <c r="B246" s="7">
        <v>20.8</v>
      </c>
      <c r="C246" s="9">
        <v>19.649999999999999</v>
      </c>
      <c r="D246" s="16">
        <f t="shared" si="24"/>
        <v>-5.528846153846164E-2</v>
      </c>
      <c r="E246" s="9">
        <v>19.649999999999999</v>
      </c>
      <c r="F246" s="16">
        <f t="shared" si="27"/>
        <v>0</v>
      </c>
      <c r="G246" s="40"/>
      <c r="J246" s="9">
        <v>15.9</v>
      </c>
      <c r="K246" s="49">
        <f t="shared" si="21"/>
        <v>22.259999999999998</v>
      </c>
      <c r="L246" s="16">
        <f t="shared" si="26"/>
        <v>-0.11725067385444743</v>
      </c>
    </row>
    <row r="247" spans="1:12">
      <c r="A247" s="6" t="s">
        <v>3734</v>
      </c>
      <c r="B247" s="7"/>
      <c r="D247" s="16"/>
      <c r="E247" s="9"/>
      <c r="G247" s="40"/>
      <c r="J247" s="9"/>
      <c r="K247" s="49">
        <f t="shared" si="21"/>
        <v>0</v>
      </c>
      <c r="L247" s="16"/>
    </row>
    <row r="248" spans="1:12">
      <c r="A248" s="1" t="s">
        <v>3735</v>
      </c>
      <c r="B248" s="7">
        <v>20.8</v>
      </c>
      <c r="C248" s="9">
        <v>19.649999999999999</v>
      </c>
      <c r="D248" s="16">
        <f t="shared" si="24"/>
        <v>-5.528846153846164E-2</v>
      </c>
      <c r="E248" s="9">
        <v>19.649999999999999</v>
      </c>
      <c r="F248" s="16">
        <f t="shared" si="27"/>
        <v>0</v>
      </c>
      <c r="G248" s="40"/>
      <c r="J248" s="9">
        <v>15.9</v>
      </c>
      <c r="K248" s="49">
        <f t="shared" si="21"/>
        <v>22.259999999999998</v>
      </c>
      <c r="L248" s="16">
        <f>(C248-K248)/K248</f>
        <v>-0.11725067385444743</v>
      </c>
    </row>
    <row r="249" spans="1:12">
      <c r="A249" s="1" t="s">
        <v>3736</v>
      </c>
      <c r="B249" s="7">
        <v>20.8</v>
      </c>
      <c r="C249" s="9">
        <v>19.649999999999999</v>
      </c>
      <c r="D249" s="16">
        <f t="shared" si="24"/>
        <v>-5.528846153846164E-2</v>
      </c>
      <c r="E249" s="9">
        <v>19.649999999999999</v>
      </c>
      <c r="F249" s="16">
        <f t="shared" si="27"/>
        <v>0</v>
      </c>
      <c r="G249" s="40"/>
      <c r="J249" s="9">
        <v>15.9</v>
      </c>
      <c r="K249" s="49">
        <f t="shared" si="21"/>
        <v>22.259999999999998</v>
      </c>
      <c r="L249" s="16">
        <f t="shared" ref="L249:L261" si="28">(C249-K249)/K249</f>
        <v>-0.11725067385444743</v>
      </c>
    </row>
    <row r="250" spans="1:12">
      <c r="A250" s="1" t="s">
        <v>3737</v>
      </c>
      <c r="B250" s="7">
        <v>20.8</v>
      </c>
      <c r="C250" s="9">
        <v>19.649999999999999</v>
      </c>
      <c r="D250" s="16">
        <f t="shared" si="24"/>
        <v>-5.528846153846164E-2</v>
      </c>
      <c r="E250" s="9">
        <v>19.649999999999999</v>
      </c>
      <c r="F250" s="16">
        <f t="shared" si="27"/>
        <v>0</v>
      </c>
      <c r="G250" s="40"/>
      <c r="J250" s="9">
        <v>15.9</v>
      </c>
      <c r="K250" s="49">
        <f t="shared" si="21"/>
        <v>22.259999999999998</v>
      </c>
      <c r="L250" s="16">
        <f t="shared" si="28"/>
        <v>-0.11725067385444743</v>
      </c>
    </row>
    <row r="251" spans="1:12">
      <c r="A251" s="1" t="s">
        <v>3738</v>
      </c>
      <c r="B251" s="7">
        <v>20.8</v>
      </c>
      <c r="C251" s="9">
        <v>19.649999999999999</v>
      </c>
      <c r="D251" s="16">
        <f t="shared" si="24"/>
        <v>-5.528846153846164E-2</v>
      </c>
      <c r="E251" s="9">
        <v>19.649999999999999</v>
      </c>
      <c r="F251" s="16">
        <f t="shared" si="27"/>
        <v>0</v>
      </c>
      <c r="G251" s="40"/>
      <c r="J251" s="9">
        <v>15.9</v>
      </c>
      <c r="K251" s="49">
        <f t="shared" si="21"/>
        <v>22.259999999999998</v>
      </c>
      <c r="L251" s="16">
        <f t="shared" si="28"/>
        <v>-0.11725067385444743</v>
      </c>
    </row>
    <row r="252" spans="1:12">
      <c r="A252" s="1" t="s">
        <v>3739</v>
      </c>
      <c r="B252" s="7">
        <v>20.8</v>
      </c>
      <c r="C252" s="9">
        <v>19.649999999999999</v>
      </c>
      <c r="D252" s="16">
        <f t="shared" si="24"/>
        <v>-5.528846153846164E-2</v>
      </c>
      <c r="E252" s="9">
        <v>19.649999999999999</v>
      </c>
      <c r="F252" s="16">
        <f t="shared" si="27"/>
        <v>0</v>
      </c>
      <c r="G252" s="40"/>
      <c r="J252" s="9">
        <v>15.9</v>
      </c>
      <c r="K252" s="49">
        <f t="shared" si="21"/>
        <v>22.259999999999998</v>
      </c>
      <c r="L252" s="16">
        <f t="shared" si="28"/>
        <v>-0.11725067385444743</v>
      </c>
    </row>
    <row r="253" spans="1:12">
      <c r="A253" s="1" t="s">
        <v>3740</v>
      </c>
      <c r="B253" s="7">
        <v>20.8</v>
      </c>
      <c r="C253" s="9">
        <v>19.649999999999999</v>
      </c>
      <c r="D253" s="16">
        <f t="shared" si="24"/>
        <v>-5.528846153846164E-2</v>
      </c>
      <c r="E253" s="9">
        <v>19.649999999999999</v>
      </c>
      <c r="F253" s="16">
        <f t="shared" si="27"/>
        <v>0</v>
      </c>
      <c r="G253" s="40"/>
      <c r="J253" s="9">
        <v>15.9</v>
      </c>
      <c r="K253" s="49">
        <f t="shared" si="21"/>
        <v>22.259999999999998</v>
      </c>
      <c r="L253" s="16">
        <f t="shared" si="28"/>
        <v>-0.11725067385444743</v>
      </c>
    </row>
    <row r="254" spans="1:12">
      <c r="A254" s="1" t="s">
        <v>3741</v>
      </c>
      <c r="B254" s="7">
        <v>20.8</v>
      </c>
      <c r="C254" s="9">
        <v>19.649999999999999</v>
      </c>
      <c r="D254" s="16">
        <f t="shared" si="24"/>
        <v>-5.528846153846164E-2</v>
      </c>
      <c r="E254" s="9">
        <v>19.649999999999999</v>
      </c>
      <c r="F254" s="16">
        <f t="shared" si="27"/>
        <v>0</v>
      </c>
      <c r="G254" s="40"/>
      <c r="J254" s="9">
        <v>15.9</v>
      </c>
      <c r="K254" s="49">
        <f t="shared" si="21"/>
        <v>22.259999999999998</v>
      </c>
      <c r="L254" s="16">
        <f t="shared" si="28"/>
        <v>-0.11725067385444743</v>
      </c>
    </row>
    <row r="255" spans="1:12" ht="25.5">
      <c r="A255" s="1" t="s">
        <v>3742</v>
      </c>
      <c r="B255" s="7">
        <v>20.8</v>
      </c>
      <c r="C255" s="9">
        <v>19.649999999999999</v>
      </c>
      <c r="D255" s="16">
        <f t="shared" si="24"/>
        <v>-5.528846153846164E-2</v>
      </c>
      <c r="E255" s="9">
        <v>19.649999999999999</v>
      </c>
      <c r="F255" s="16">
        <f t="shared" si="27"/>
        <v>0</v>
      </c>
      <c r="G255" s="40"/>
      <c r="J255" s="9">
        <v>15.9</v>
      </c>
      <c r="K255" s="49">
        <f t="shared" si="21"/>
        <v>22.259999999999998</v>
      </c>
      <c r="L255" s="16">
        <f t="shared" si="28"/>
        <v>-0.11725067385444743</v>
      </c>
    </row>
    <row r="256" spans="1:12">
      <c r="A256" s="1" t="s">
        <v>3743</v>
      </c>
      <c r="B256" s="7">
        <v>20.8</v>
      </c>
      <c r="C256" s="9">
        <v>19.649999999999999</v>
      </c>
      <c r="D256" s="16">
        <f t="shared" si="24"/>
        <v>-5.528846153846164E-2</v>
      </c>
      <c r="E256" s="9">
        <v>19.649999999999999</v>
      </c>
      <c r="F256" s="16">
        <f t="shared" si="27"/>
        <v>0</v>
      </c>
      <c r="G256" s="40"/>
      <c r="J256" s="9">
        <v>15.9</v>
      </c>
      <c r="K256" s="49">
        <f t="shared" si="21"/>
        <v>22.259999999999998</v>
      </c>
      <c r="L256" s="16">
        <f t="shared" si="28"/>
        <v>-0.11725067385444743</v>
      </c>
    </row>
    <row r="257" spans="1:12">
      <c r="A257" s="1" t="s">
        <v>3744</v>
      </c>
      <c r="B257" s="7">
        <v>20.8</v>
      </c>
      <c r="C257" s="9">
        <v>19.649999999999999</v>
      </c>
      <c r="D257" s="16">
        <f t="shared" si="24"/>
        <v>-5.528846153846164E-2</v>
      </c>
      <c r="E257" s="9">
        <v>19.649999999999999</v>
      </c>
      <c r="F257" s="16">
        <f t="shared" si="27"/>
        <v>0</v>
      </c>
      <c r="G257" s="40"/>
      <c r="J257" s="9">
        <v>15.9</v>
      </c>
      <c r="K257" s="49">
        <f t="shared" si="21"/>
        <v>22.259999999999998</v>
      </c>
      <c r="L257" s="16">
        <f t="shared" si="28"/>
        <v>-0.11725067385444743</v>
      </c>
    </row>
    <row r="258" spans="1:12">
      <c r="A258" s="1" t="s">
        <v>3745</v>
      </c>
      <c r="B258" s="7">
        <v>20.8</v>
      </c>
      <c r="C258" s="9">
        <v>19.649999999999999</v>
      </c>
      <c r="D258" s="16">
        <f t="shared" si="24"/>
        <v>-5.528846153846164E-2</v>
      </c>
      <c r="E258" s="9">
        <v>19.649999999999999</v>
      </c>
      <c r="F258" s="16">
        <f t="shared" si="27"/>
        <v>0</v>
      </c>
      <c r="G258" s="40"/>
      <c r="J258" s="9">
        <v>15.9</v>
      </c>
      <c r="K258" s="49">
        <f t="shared" si="21"/>
        <v>22.259999999999998</v>
      </c>
      <c r="L258" s="16">
        <f t="shared" si="28"/>
        <v>-0.11725067385444743</v>
      </c>
    </row>
    <row r="259" spans="1:12">
      <c r="A259" s="1" t="s">
        <v>3746</v>
      </c>
      <c r="B259" s="7">
        <v>20.8</v>
      </c>
      <c r="C259" s="9">
        <v>19.649999999999999</v>
      </c>
      <c r="D259" s="16">
        <f t="shared" si="24"/>
        <v>-5.528846153846164E-2</v>
      </c>
      <c r="E259" s="9">
        <v>19.649999999999999</v>
      </c>
      <c r="F259" s="16">
        <f t="shared" si="27"/>
        <v>0</v>
      </c>
      <c r="G259" s="40"/>
      <c r="J259" s="9">
        <v>15.9</v>
      </c>
      <c r="K259" s="49">
        <f t="shared" si="21"/>
        <v>22.259999999999998</v>
      </c>
      <c r="L259" s="16">
        <f t="shared" si="28"/>
        <v>-0.11725067385444743</v>
      </c>
    </row>
    <row r="260" spans="1:12">
      <c r="A260" s="1" t="s">
        <v>3747</v>
      </c>
      <c r="B260" s="7">
        <v>20.8</v>
      </c>
      <c r="C260" s="9">
        <v>19.649999999999999</v>
      </c>
      <c r="D260" s="16">
        <f t="shared" si="24"/>
        <v>-5.528846153846164E-2</v>
      </c>
      <c r="E260" s="9">
        <v>19.649999999999999</v>
      </c>
      <c r="F260" s="16">
        <f t="shared" si="27"/>
        <v>0</v>
      </c>
      <c r="G260" s="40"/>
      <c r="J260" s="9">
        <v>15.9</v>
      </c>
      <c r="K260" s="49">
        <f t="shared" si="21"/>
        <v>22.259999999999998</v>
      </c>
      <c r="L260" s="16">
        <f t="shared" si="28"/>
        <v>-0.11725067385444743</v>
      </c>
    </row>
    <row r="261" spans="1:12">
      <c r="A261" s="2" t="s">
        <v>3748</v>
      </c>
      <c r="B261" s="10">
        <f>B260+0.5</f>
        <v>21.3</v>
      </c>
      <c r="C261" s="10">
        <f>C260+0.5</f>
        <v>20.149999999999999</v>
      </c>
      <c r="D261" s="16">
        <f t="shared" si="24"/>
        <v>-5.3990610328638597E-2</v>
      </c>
      <c r="E261" s="9">
        <v>20.149999999999999</v>
      </c>
      <c r="F261" s="16">
        <f t="shared" si="27"/>
        <v>0</v>
      </c>
      <c r="G261" s="40"/>
      <c r="J261" s="9">
        <v>15.9</v>
      </c>
      <c r="K261" s="49">
        <f t="shared" si="21"/>
        <v>22.259999999999998</v>
      </c>
      <c r="L261" s="16">
        <f t="shared" si="28"/>
        <v>-9.4788858939802323E-2</v>
      </c>
    </row>
    <row r="262" spans="1:12">
      <c r="A262" s="1"/>
      <c r="B262" s="7"/>
      <c r="E262" s="9"/>
      <c r="G262" s="40"/>
      <c r="J262" s="9"/>
      <c r="K262" s="49">
        <f t="shared" si="21"/>
        <v>0</v>
      </c>
      <c r="L262" s="16"/>
    </row>
    <row r="263" spans="1:12">
      <c r="A263" s="2" t="s">
        <v>3666</v>
      </c>
      <c r="B263" s="7"/>
      <c r="C263" s="8" t="s">
        <v>3486</v>
      </c>
      <c r="D263" s="8"/>
      <c r="E263" s="44"/>
      <c r="F263" s="8"/>
      <c r="G263" s="23" t="s">
        <v>3984</v>
      </c>
      <c r="H263" s="8"/>
      <c r="I263" s="43">
        <f>AVERAGE(F264)</f>
        <v>0</v>
      </c>
      <c r="J263" s="44"/>
      <c r="K263" s="49">
        <f t="shared" si="21"/>
        <v>0</v>
      </c>
      <c r="L263" s="43"/>
    </row>
    <row r="264" spans="1:12">
      <c r="A264" s="1" t="s">
        <v>3667</v>
      </c>
      <c r="B264" s="7">
        <v>21.55</v>
      </c>
      <c r="C264" s="9">
        <v>54.49</v>
      </c>
      <c r="D264" s="16">
        <f>(C264-B264)/B264</f>
        <v>1.5285382830626448</v>
      </c>
      <c r="E264" s="9">
        <v>54.49</v>
      </c>
      <c r="F264" s="16">
        <f>(C264-E264)/E264</f>
        <v>0</v>
      </c>
      <c r="G264" s="40"/>
      <c r="J264" s="9"/>
      <c r="K264" s="49">
        <f t="shared" si="21"/>
        <v>0</v>
      </c>
      <c r="L264" s="16"/>
    </row>
    <row r="265" spans="1:12">
      <c r="A265" s="1"/>
      <c r="B265" s="1"/>
      <c r="E265" s="9"/>
      <c r="G265" s="40"/>
      <c r="J265" s="9"/>
      <c r="K265" s="49">
        <f t="shared" si="21"/>
        <v>0</v>
      </c>
      <c r="L265" s="16"/>
    </row>
    <row r="266" spans="1:12" ht="63.75">
      <c r="A266" s="2" t="s">
        <v>3668</v>
      </c>
      <c r="B266" s="3" t="s">
        <v>3749</v>
      </c>
      <c r="C266" s="17"/>
      <c r="D266" s="8"/>
      <c r="E266" s="44"/>
      <c r="F266" s="8"/>
      <c r="G266" s="23" t="s">
        <v>3983</v>
      </c>
      <c r="H266" s="43">
        <f>AVERAGE(F267:F268)</f>
        <v>2.1562766865926515E-2</v>
      </c>
      <c r="I266" s="8"/>
      <c r="J266" s="44"/>
      <c r="K266" s="49">
        <f t="shared" si="21"/>
        <v>0</v>
      </c>
      <c r="L266" s="43"/>
    </row>
    <row r="267" spans="1:12" ht="25.5">
      <c r="A267" s="1" t="s">
        <v>3670</v>
      </c>
      <c r="B267" s="7">
        <v>46.1</v>
      </c>
      <c r="C267" s="9">
        <v>47.85</v>
      </c>
      <c r="D267" s="16">
        <f>(C267-B267)/B267</f>
        <v>3.7960954446854663E-2</v>
      </c>
      <c r="E267" s="9">
        <v>46.84</v>
      </c>
      <c r="F267" s="16">
        <f>(C267-E267)/E267</f>
        <v>2.1562766865926515E-2</v>
      </c>
      <c r="G267" s="40"/>
      <c r="J267" s="9"/>
      <c r="K267" s="49">
        <f t="shared" si="21"/>
        <v>0</v>
      </c>
      <c r="L267" s="16"/>
    </row>
    <row r="268" spans="1:12">
      <c r="A268" s="1"/>
      <c r="B268" s="7"/>
      <c r="E268" s="9"/>
      <c r="G268" s="40"/>
      <c r="J268" s="9"/>
      <c r="K268" s="49">
        <f t="shared" si="21"/>
        <v>0</v>
      </c>
      <c r="L268" s="16"/>
    </row>
    <row r="269" spans="1:12">
      <c r="A269" s="2" t="s">
        <v>3671</v>
      </c>
      <c r="B269" s="7"/>
      <c r="C269" s="8" t="s">
        <v>3487</v>
      </c>
      <c r="D269" s="8"/>
      <c r="E269" s="44"/>
      <c r="F269" s="8"/>
      <c r="G269" s="23" t="s">
        <v>3983</v>
      </c>
      <c r="H269" s="43">
        <f>AVERAGE(F270)</f>
        <v>-2.9934847684451788E-3</v>
      </c>
      <c r="I269" s="8"/>
      <c r="J269" s="44"/>
      <c r="K269" s="49">
        <f t="shared" si="21"/>
        <v>0</v>
      </c>
      <c r="L269" s="43"/>
    </row>
    <row r="270" spans="1:12">
      <c r="A270" s="1" t="s">
        <v>3672</v>
      </c>
      <c r="B270" s="7">
        <v>44.65</v>
      </c>
      <c r="C270" s="9">
        <v>56.62</v>
      </c>
      <c r="D270" s="16">
        <f>(C270-B270)/B270</f>
        <v>0.26808510638297872</v>
      </c>
      <c r="E270" s="9">
        <v>56.79</v>
      </c>
      <c r="F270" s="16">
        <f>(C270-E270)/E270</f>
        <v>-2.9934847684451788E-3</v>
      </c>
      <c r="G270" s="40"/>
      <c r="J270" s="9"/>
      <c r="K270" s="49">
        <f t="shared" si="21"/>
        <v>0</v>
      </c>
      <c r="L270" s="16"/>
    </row>
    <row r="271" spans="1:12">
      <c r="A271" s="1"/>
      <c r="B271" s="7"/>
      <c r="E271" s="9"/>
      <c r="G271" s="40"/>
      <c r="J271" s="9"/>
      <c r="K271" s="49">
        <f t="shared" si="21"/>
        <v>0</v>
      </c>
      <c r="L271" s="16"/>
    </row>
    <row r="272" spans="1:12">
      <c r="A272" s="2" t="s">
        <v>3673</v>
      </c>
      <c r="B272" s="7"/>
      <c r="C272" s="8" t="s">
        <v>3487</v>
      </c>
      <c r="D272" s="8"/>
      <c r="E272" s="44"/>
      <c r="F272" s="8"/>
      <c r="G272" s="23"/>
      <c r="H272" s="43">
        <f>AVERAGE(F273)</f>
        <v>-2.9934847684451788E-3</v>
      </c>
      <c r="I272" s="8"/>
      <c r="J272" s="44"/>
      <c r="K272" s="49">
        <f t="shared" si="21"/>
        <v>0</v>
      </c>
      <c r="L272" s="43"/>
    </row>
    <row r="273" spans="1:12">
      <c r="A273" s="1" t="s">
        <v>3674</v>
      </c>
      <c r="B273" s="7">
        <v>44.65</v>
      </c>
      <c r="C273" s="9">
        <v>56.62</v>
      </c>
      <c r="D273" s="16">
        <f>(C273-B273)/B273</f>
        <v>0.26808510638297872</v>
      </c>
      <c r="E273" s="9">
        <v>56.79</v>
      </c>
      <c r="F273" s="16">
        <f>(C273-E273)/E273</f>
        <v>-2.9934847684451788E-3</v>
      </c>
      <c r="J273" s="9"/>
      <c r="K273" s="49">
        <f t="shared" si="21"/>
        <v>0</v>
      </c>
      <c r="L273" s="16"/>
    </row>
    <row r="275" spans="1:12">
      <c r="A275" s="8" t="s">
        <v>3988</v>
      </c>
      <c r="B275" s="7"/>
      <c r="D275" s="16"/>
      <c r="E275" s="9"/>
      <c r="F275" s="16"/>
      <c r="G275" s="40"/>
    </row>
    <row r="276" spans="1:12">
      <c r="A276" s="1" t="s">
        <v>3986</v>
      </c>
      <c r="D276" s="16"/>
      <c r="E276" s="7"/>
      <c r="F276" s="16"/>
      <c r="G276" s="40">
        <f>COUNTIF(G4:G273,"Y")</f>
        <v>27</v>
      </c>
    </row>
    <row r="277" spans="1:12">
      <c r="A277" s="1" t="s">
        <v>3987</v>
      </c>
      <c r="B277" s="7"/>
      <c r="D277" s="16"/>
      <c r="E277" s="9"/>
      <c r="F277" s="16"/>
      <c r="G277" s="41">
        <f>COUNTIF(G4:G276,"N")</f>
        <v>11</v>
      </c>
    </row>
    <row r="278" spans="1:12">
      <c r="A278" s="8" t="s">
        <v>3985</v>
      </c>
      <c r="E278" s="9"/>
      <c r="F278" s="16"/>
      <c r="G278" s="23">
        <f>SUM(G276:G277)</f>
        <v>38</v>
      </c>
    </row>
  </sheetData>
  <mergeCells count="17">
    <mergeCell ref="A105:B105"/>
    <mergeCell ref="A126:B126"/>
    <mergeCell ref="A164:B164"/>
    <mergeCell ref="A211:B211"/>
    <mergeCell ref="A213:B213"/>
    <mergeCell ref="B127:B129"/>
    <mergeCell ref="A144:B144"/>
    <mergeCell ref="B145:B146"/>
    <mergeCell ref="A163:B163"/>
    <mergeCell ref="A70:B70"/>
    <mergeCell ref="A80:B80"/>
    <mergeCell ref="A97:B97"/>
    <mergeCell ref="A102:B102"/>
    <mergeCell ref="A27:B27"/>
    <mergeCell ref="A28:B28"/>
    <mergeCell ref="A65:B65"/>
    <mergeCell ref="A66:B66"/>
  </mergeCells>
  <phoneticPr fontId="2" type="noConversion"/>
  <hyperlinks>
    <hyperlink ref="A1" r:id="rId1" display="http://www.laborcommissioner.com/10rates/churchil.html"/>
    <hyperlink ref="B4" location="SHEET" display="SHEET"/>
    <hyperlink ref="B15" location="BRICK ZONE 07" display="BRICK ZONE 07"/>
    <hyperlink ref="B20" location="Carp Zone" display="Carp Zone"/>
    <hyperlink ref="B50" location="laborer zone" display="laborer zone"/>
    <hyperlink ref="B53" location="laborer zone" display="laborer zone"/>
    <hyperlink ref="B63" location="laborer zone" display="laborer zone"/>
    <hyperlink ref="B67" location="Hod Brick Zone 08" display="Hod Brick Zone 08"/>
    <hyperlink ref="B71" location="HOD CARRIER PLASTER" display="HOD CARRIER PLASTER"/>
    <hyperlink ref="B76" r:id="rId2" display="http://www.laborcommissioner.com/10rates/2010 Amendments/2010Amendment1.htm"/>
    <hyperlink ref="A82" location="laborer group" display="laborer group"/>
    <hyperlink ref="B81" location="laborer zone" display="laborer zone"/>
    <hyperlink ref="B98" r:id="rId3" display="http://www.laborcommissioner.com/10rates/2010 Amendments/2010Amendment2.htm"/>
    <hyperlink ref="A107" location="OP GROUPS" display="OP GROUPS"/>
    <hyperlink ref="B127" location="OP ZONE" display="OP ZONE"/>
    <hyperlink ref="A146" location="OP GROUP PILEDRIVER" display="OP GROUP PILEDRIVER"/>
    <hyperlink ref="B179" location="PLAS ZONE" display="PLAS ZONE"/>
    <hyperlink ref="B191" location="SHEET" display="SHEET"/>
    <hyperlink ref="B205" location="TILE 09" display="TILE 09"/>
    <hyperlink ref="B209" location="laborer zone" display="laborer zone"/>
    <hyperlink ref="B266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4"/>
  <sheetViews>
    <sheetView workbookViewId="0">
      <selection activeCell="M1" sqref="M1:M1048576"/>
    </sheetView>
  </sheetViews>
  <sheetFormatPr defaultRowHeight="12.75"/>
  <cols>
    <col min="1" max="1" width="36.28515625" customWidth="1"/>
    <col min="2" max="2" width="8.85546875" customWidth="1"/>
    <col min="3" max="3" width="9.28515625" style="9" customWidth="1"/>
    <col min="4" max="4" width="10.28515625" customWidth="1"/>
    <col min="6" max="6" width="16.28515625" customWidth="1"/>
    <col min="7" max="7" width="7.5703125" customWidth="1"/>
    <col min="8" max="8" width="11" customWidth="1"/>
    <col min="9" max="9" width="12.85546875" customWidth="1"/>
    <col min="10" max="10" width="7.7109375" customWidth="1"/>
    <col min="11" max="11" width="15.5703125" customWidth="1"/>
    <col min="12" max="12" width="12.7109375" customWidth="1"/>
  </cols>
  <sheetData>
    <row r="1" spans="1:12" ht="63.75" customHeight="1">
      <c r="A1" s="48" t="s">
        <v>3989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29"/>
      <c r="C2" s="30"/>
      <c r="D2" s="21">
        <f>AVERAGE(D5:D329)</f>
        <v>2.3482313499241441E-2</v>
      </c>
      <c r="E2" s="9"/>
      <c r="F2" s="21">
        <f>AVERAGE(F5:F329)</f>
        <v>6.2302739430370541E-2</v>
      </c>
      <c r="H2" s="21">
        <f>AVERAGE(H4:H329)</f>
        <v>7.3677619030990446E-2</v>
      </c>
      <c r="I2" s="21">
        <f>AVERAGE(I4:I329)</f>
        <v>3.8078887128015428E-3</v>
      </c>
      <c r="L2" s="21">
        <f>AVERAGE(L4:L329)</f>
        <v>0.45748031212956025</v>
      </c>
    </row>
    <row r="3" spans="1:12">
      <c r="L3" s="16"/>
    </row>
    <row r="4" spans="1:12" ht="12.75" customHeight="1">
      <c r="A4" s="2" t="s">
        <v>3500</v>
      </c>
      <c r="B4" s="3" t="s">
        <v>3501</v>
      </c>
      <c r="C4" s="44"/>
      <c r="D4" s="8"/>
      <c r="E4" s="44"/>
      <c r="F4" s="43"/>
      <c r="G4" s="23" t="s">
        <v>3983</v>
      </c>
      <c r="H4" s="43">
        <f>AVERAGE(F5:F7)</f>
        <v>0.10617326647068999</v>
      </c>
      <c r="I4" s="8"/>
      <c r="J4" s="44"/>
      <c r="K4" s="44"/>
      <c r="L4" s="43"/>
    </row>
    <row r="5" spans="1:12" ht="12.75" customHeight="1">
      <c r="A5" s="1" t="s">
        <v>3750</v>
      </c>
      <c r="B5" s="7">
        <v>58.52</v>
      </c>
      <c r="C5" s="9">
        <v>59.52</v>
      </c>
      <c r="D5" s="16">
        <f>(C5-B5)/B5</f>
        <v>1.7088174982911822E-2</v>
      </c>
      <c r="E5" s="9">
        <v>57.83</v>
      </c>
      <c r="F5" s="16">
        <f>(C5-E5)/E5</f>
        <v>2.9223586373854485E-2</v>
      </c>
      <c r="G5" s="40"/>
      <c r="J5" s="9"/>
      <c r="K5" s="9"/>
      <c r="L5" s="16"/>
    </row>
    <row r="6" spans="1:12" ht="12.75" customHeight="1">
      <c r="A6" s="1" t="s">
        <v>3751</v>
      </c>
      <c r="B6" s="7">
        <v>62.95</v>
      </c>
      <c r="C6" s="9">
        <v>63.97</v>
      </c>
      <c r="D6" s="16">
        <f>(C6-B6)/B6</f>
        <v>1.6203335980937188E-2</v>
      </c>
      <c r="E6" s="9">
        <v>57.83</v>
      </c>
      <c r="F6" s="16">
        <f>(C6-E6)/E6</f>
        <v>0.10617326647068996</v>
      </c>
      <c r="G6" s="40"/>
      <c r="J6" s="9"/>
      <c r="K6" s="9"/>
      <c r="L6" s="16"/>
    </row>
    <row r="7" spans="1:12" ht="12.75" customHeight="1">
      <c r="A7" s="1" t="s">
        <v>3752</v>
      </c>
      <c r="B7" s="7">
        <v>67.37</v>
      </c>
      <c r="C7" s="9">
        <v>68.42</v>
      </c>
      <c r="D7" s="16">
        <f>(C7-B7)/B7</f>
        <v>1.5585572213151211E-2</v>
      </c>
      <c r="E7" s="9">
        <v>57.83</v>
      </c>
      <c r="F7" s="16">
        <f>(C7-E7)/E7</f>
        <v>0.18312294656752556</v>
      </c>
      <c r="G7" s="40"/>
      <c r="J7" s="9"/>
      <c r="K7" s="9"/>
      <c r="L7" s="16"/>
    </row>
    <row r="8" spans="1:12">
      <c r="A8" s="1"/>
      <c r="B8" s="1"/>
      <c r="D8" s="16"/>
      <c r="E8" s="9"/>
      <c r="G8" s="40"/>
      <c r="J8" s="9"/>
      <c r="K8" s="9"/>
      <c r="L8" s="16"/>
    </row>
    <row r="9" spans="1:12">
      <c r="A9" s="2" t="s">
        <v>3505</v>
      </c>
      <c r="B9" s="1"/>
      <c r="C9" s="44"/>
      <c r="D9" s="43"/>
      <c r="E9" s="44"/>
      <c r="F9" s="8"/>
      <c r="G9" s="23" t="s">
        <v>3983</v>
      </c>
      <c r="H9" s="43">
        <f>AVERAGE(F10)</f>
        <v>0.12756952841596142</v>
      </c>
      <c r="I9" s="8"/>
      <c r="J9" s="44"/>
      <c r="K9" s="44"/>
      <c r="L9" s="43"/>
    </row>
    <row r="10" spans="1:12" ht="12.75" customHeight="1">
      <c r="A10" s="1" t="s">
        <v>3753</v>
      </c>
      <c r="B10" s="7">
        <v>54.38</v>
      </c>
      <c r="C10" s="9">
        <v>55.95</v>
      </c>
      <c r="D10" s="16">
        <f>(C10-B10)/B10</f>
        <v>2.8870908422214053E-2</v>
      </c>
      <c r="E10" s="9">
        <v>49.62</v>
      </c>
      <c r="F10" s="16">
        <f>(C10-E10)/E10</f>
        <v>0.12756952841596142</v>
      </c>
      <c r="G10" s="40"/>
      <c r="J10" s="9">
        <v>24.59</v>
      </c>
      <c r="K10" s="9">
        <f>J10*1.4</f>
        <v>34.425999999999995</v>
      </c>
      <c r="L10" s="16">
        <f>(C10-K10)/K10</f>
        <v>0.62522512054842305</v>
      </c>
    </row>
    <row r="11" spans="1:12">
      <c r="A11" s="1"/>
      <c r="B11" s="1"/>
      <c r="D11" s="16"/>
      <c r="E11" s="9"/>
      <c r="G11" s="40"/>
      <c r="J11" s="9"/>
      <c r="K11" s="9">
        <f t="shared" ref="K11:K74" si="0">J11*1.4</f>
        <v>0</v>
      </c>
      <c r="L11" s="16"/>
    </row>
    <row r="12" spans="1:12">
      <c r="A12" s="2" t="s">
        <v>3507</v>
      </c>
      <c r="B12" s="1"/>
      <c r="C12" s="44"/>
      <c r="D12" s="43"/>
      <c r="E12" s="44"/>
      <c r="F12" s="8"/>
      <c r="G12" s="23" t="s">
        <v>3983</v>
      </c>
      <c r="H12" s="43">
        <f>AVERAGE(F13)</f>
        <v>1.8693032596941044E-2</v>
      </c>
      <c r="I12" s="8"/>
      <c r="J12" s="44"/>
      <c r="K12" s="9">
        <f t="shared" si="0"/>
        <v>0</v>
      </c>
      <c r="L12" s="43"/>
    </row>
    <row r="13" spans="1:12" ht="12.75" customHeight="1">
      <c r="A13" s="1" t="s">
        <v>3508</v>
      </c>
      <c r="B13" s="7">
        <v>59.5</v>
      </c>
      <c r="C13" s="9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J13" s="9"/>
      <c r="K13" s="9">
        <f t="shared" si="0"/>
        <v>0</v>
      </c>
      <c r="L13" s="16"/>
    </row>
    <row r="14" spans="1:12">
      <c r="A14" s="1"/>
      <c r="B14" s="1"/>
      <c r="D14" s="16"/>
      <c r="E14" s="9"/>
      <c r="G14" s="40"/>
      <c r="J14" s="9"/>
      <c r="K14" s="9">
        <f t="shared" si="0"/>
        <v>0</v>
      </c>
      <c r="L14" s="16"/>
    </row>
    <row r="15" spans="1:12" ht="12.75" customHeight="1">
      <c r="A15" s="2" t="s">
        <v>3509</v>
      </c>
      <c r="B15" s="3" t="s">
        <v>3754</v>
      </c>
      <c r="C15" s="44"/>
      <c r="D15" s="43"/>
      <c r="E15" s="44"/>
      <c r="F15" s="8"/>
      <c r="G15" s="23" t="s">
        <v>3983</v>
      </c>
      <c r="H15" s="43">
        <f>AVERAGE(F16)</f>
        <v>-7.7764026402640185E-2</v>
      </c>
      <c r="I15" s="8"/>
      <c r="J15" s="44"/>
      <c r="K15" s="9">
        <f t="shared" si="0"/>
        <v>0</v>
      </c>
      <c r="L15" s="43"/>
    </row>
    <row r="16" spans="1:12" ht="12.75" customHeight="1">
      <c r="A16" s="1" t="s">
        <v>3511</v>
      </c>
      <c r="B16" s="7">
        <v>45.46</v>
      </c>
      <c r="C16" s="9">
        <v>44.71</v>
      </c>
      <c r="D16" s="16">
        <f>(C16-B16)/B16</f>
        <v>-1.6498020237571492E-2</v>
      </c>
      <c r="E16" s="9">
        <v>48.48</v>
      </c>
      <c r="F16" s="16">
        <f>(C16-E16)/E16</f>
        <v>-7.7764026402640185E-2</v>
      </c>
      <c r="G16" s="40"/>
      <c r="J16" s="9">
        <v>20.07</v>
      </c>
      <c r="K16" s="9">
        <f t="shared" si="0"/>
        <v>28.097999999999999</v>
      </c>
      <c r="L16" s="16">
        <f>(C16-K16)/K16</f>
        <v>0.59121645668730882</v>
      </c>
    </row>
    <row r="17" spans="1:12">
      <c r="A17" s="1"/>
      <c r="B17" s="1"/>
      <c r="D17" s="16"/>
      <c r="E17" s="9"/>
      <c r="G17" s="40"/>
      <c r="J17" s="9"/>
      <c r="K17" s="9">
        <f t="shared" si="0"/>
        <v>0</v>
      </c>
      <c r="L17" s="16"/>
    </row>
    <row r="18" spans="1:12" ht="12.75" customHeight="1">
      <c r="A18" s="2" t="s">
        <v>3514</v>
      </c>
      <c r="B18" s="3" t="s">
        <v>3510</v>
      </c>
      <c r="C18" s="44"/>
      <c r="D18" s="43"/>
      <c r="E18" s="44"/>
      <c r="F18" s="8"/>
      <c r="G18" s="23" t="s">
        <v>3983</v>
      </c>
      <c r="H18" s="43">
        <f>AVERAGE(F19:F22)</f>
        <v>7.8059732664995801E-2</v>
      </c>
      <c r="I18" s="8"/>
      <c r="J18" s="44"/>
      <c r="K18" s="9">
        <f t="shared" si="0"/>
        <v>0</v>
      </c>
      <c r="L18" s="43"/>
    </row>
    <row r="19" spans="1:12" ht="12.75" customHeight="1">
      <c r="A19" s="1" t="s">
        <v>3515</v>
      </c>
      <c r="B19" s="7">
        <v>48.7</v>
      </c>
      <c r="C19" s="9">
        <v>48.95</v>
      </c>
      <c r="D19" s="16">
        <f>(C19-B19)/B19</f>
        <v>5.1334702258726897E-3</v>
      </c>
      <c r="E19" s="9">
        <v>47.88</v>
      </c>
      <c r="F19" s="16">
        <f>(C19-E19)/E19</f>
        <v>2.2347535505430248E-2</v>
      </c>
      <c r="G19" s="40"/>
      <c r="J19" s="9">
        <v>26.57</v>
      </c>
      <c r="K19" s="9">
        <f t="shared" si="0"/>
        <v>37.198</v>
      </c>
      <c r="L19" s="16">
        <f>(C19-K19)/K19</f>
        <v>0.31593096403032428</v>
      </c>
    </row>
    <row r="20" spans="1:12" ht="12.75" customHeight="1">
      <c r="A20" s="1" t="s">
        <v>3755</v>
      </c>
      <c r="B20" s="7">
        <v>49.7</v>
      </c>
      <c r="C20" s="9">
        <v>49.95</v>
      </c>
      <c r="D20" s="16">
        <f>(C20-B20)/B20</f>
        <v>5.0301810865191147E-3</v>
      </c>
      <c r="E20" s="9">
        <v>47.88</v>
      </c>
      <c r="F20" s="16">
        <f>(C20-E20)/E20</f>
        <v>4.3233082706766922E-2</v>
      </c>
      <c r="G20" s="40"/>
      <c r="J20" s="9">
        <v>26.57</v>
      </c>
      <c r="K20" s="9">
        <f t="shared" si="0"/>
        <v>37.198</v>
      </c>
      <c r="L20" s="16">
        <f t="shared" ref="L20:L22" si="1">(C20-K20)/K20</f>
        <v>0.34281412979192438</v>
      </c>
    </row>
    <row r="21" spans="1:12" ht="12.75" customHeight="1">
      <c r="A21" s="1" t="s">
        <v>3516</v>
      </c>
      <c r="B21" s="7">
        <v>51.83</v>
      </c>
      <c r="C21" s="9">
        <v>52.08</v>
      </c>
      <c r="D21" s="16">
        <f>(C21-B21)/B21</f>
        <v>4.8234613158402474E-3</v>
      </c>
      <c r="E21" s="9">
        <v>47.88</v>
      </c>
      <c r="F21" s="16">
        <f>(C21-E21)/E21</f>
        <v>8.7719298245613947E-2</v>
      </c>
      <c r="G21" s="40"/>
      <c r="J21" s="9">
        <v>26.57</v>
      </c>
      <c r="K21" s="9">
        <f t="shared" si="0"/>
        <v>37.198</v>
      </c>
      <c r="L21" s="16">
        <f t="shared" si="1"/>
        <v>0.40007527286413241</v>
      </c>
    </row>
    <row r="22" spans="1:12" ht="12.75" customHeight="1">
      <c r="A22" s="1" t="s">
        <v>3756</v>
      </c>
      <c r="B22" s="7">
        <v>55.24</v>
      </c>
      <c r="C22" s="9">
        <v>55.49</v>
      </c>
      <c r="D22" s="16">
        <f>(C22-B22)/B22</f>
        <v>4.5257060101375809E-3</v>
      </c>
      <c r="E22" s="9">
        <v>47.88</v>
      </c>
      <c r="F22" s="16">
        <f>(C22-E22)/E22</f>
        <v>0.15893901420217207</v>
      </c>
      <c r="G22" s="40"/>
      <c r="J22" s="9">
        <v>26.57</v>
      </c>
      <c r="K22" s="9">
        <f t="shared" si="0"/>
        <v>37.198</v>
      </c>
      <c r="L22" s="16">
        <f t="shared" si="1"/>
        <v>0.49174686811118878</v>
      </c>
    </row>
    <row r="23" spans="1:12">
      <c r="A23" s="1"/>
      <c r="B23" s="1"/>
      <c r="D23" s="16"/>
      <c r="E23" s="9"/>
      <c r="G23" s="40"/>
      <c r="J23" s="9"/>
      <c r="K23" s="9">
        <f t="shared" si="0"/>
        <v>0</v>
      </c>
      <c r="L23" s="16"/>
    </row>
    <row r="24" spans="1:12" ht="12.75" customHeight="1">
      <c r="A24" s="2" t="s">
        <v>3517</v>
      </c>
      <c r="B24" s="3" t="s">
        <v>3510</v>
      </c>
      <c r="C24" s="44"/>
      <c r="D24" s="43"/>
      <c r="E24" s="44"/>
      <c r="F24" s="8"/>
      <c r="G24" s="23" t="s">
        <v>3983</v>
      </c>
      <c r="H24" s="43">
        <f>AVERAGE(F25:F27)</f>
        <v>7.8225205070842616E-2</v>
      </c>
      <c r="I24" s="8"/>
      <c r="J24" s="44"/>
      <c r="K24" s="9">
        <f t="shared" si="0"/>
        <v>0</v>
      </c>
      <c r="L24" s="43"/>
    </row>
    <row r="25" spans="1:12" ht="12.75" customHeight="1">
      <c r="A25" s="1" t="s">
        <v>3521</v>
      </c>
      <c r="B25" s="7">
        <v>46.28</v>
      </c>
      <c r="C25" s="9">
        <v>46.28</v>
      </c>
      <c r="D25" s="16">
        <f>(C25-B25)/B25</f>
        <v>0</v>
      </c>
      <c r="E25" s="9">
        <v>44.7</v>
      </c>
      <c r="F25" s="16">
        <f>(C25-E25)/E25</f>
        <v>3.5346756152125236E-2</v>
      </c>
      <c r="G25" s="40"/>
      <c r="J25" s="9">
        <v>22.63</v>
      </c>
      <c r="K25" s="9">
        <f t="shared" si="0"/>
        <v>31.681999999999995</v>
      </c>
      <c r="L25" s="16">
        <f>(C25-K25)/K25</f>
        <v>0.46076636575973767</v>
      </c>
    </row>
    <row r="26" spans="1:12" ht="12.75" customHeight="1">
      <c r="A26" s="1" t="s">
        <v>3522</v>
      </c>
      <c r="B26" s="7">
        <v>48.28</v>
      </c>
      <c r="C26" s="9">
        <v>48.28</v>
      </c>
      <c r="D26" s="16">
        <f>(C26-B26)/B26</f>
        <v>0</v>
      </c>
      <c r="E26" s="9">
        <v>44.7</v>
      </c>
      <c r="F26" s="16">
        <f>(C26-E26)/E26</f>
        <v>8.0089485458612927E-2</v>
      </c>
      <c r="G26" s="40"/>
      <c r="J26" s="9">
        <v>22.63</v>
      </c>
      <c r="K26" s="9">
        <f t="shared" si="0"/>
        <v>31.681999999999995</v>
      </c>
      <c r="L26" s="16">
        <f t="shared" ref="L26:L27" si="2">(C26-K26)/K26</f>
        <v>0.52389369357995108</v>
      </c>
    </row>
    <row r="27" spans="1:12" ht="12.75" customHeight="1">
      <c r="A27" s="1" t="s">
        <v>3757</v>
      </c>
      <c r="B27" s="7">
        <v>50.03</v>
      </c>
      <c r="C27" s="9">
        <v>50.03</v>
      </c>
      <c r="D27" s="16">
        <f>(C27-B27)/B27</f>
        <v>0</v>
      </c>
      <c r="E27" s="9">
        <v>44.7</v>
      </c>
      <c r="F27" s="16">
        <f>(C27-E27)/E27</f>
        <v>0.11923937360178967</v>
      </c>
      <c r="G27" s="40"/>
      <c r="J27" s="9">
        <v>22.63</v>
      </c>
      <c r="K27" s="9">
        <f t="shared" si="0"/>
        <v>31.681999999999995</v>
      </c>
      <c r="L27" s="16">
        <f t="shared" si="2"/>
        <v>0.57913010542263776</v>
      </c>
    </row>
    <row r="28" spans="1:12">
      <c r="A28" s="143"/>
      <c r="B28" s="143"/>
      <c r="D28" s="16"/>
      <c r="E28" s="9"/>
      <c r="G28" s="40"/>
      <c r="J28" s="9"/>
      <c r="K28" s="9">
        <f t="shared" si="0"/>
        <v>0</v>
      </c>
      <c r="L28" s="16"/>
    </row>
    <row r="29" spans="1:12" ht="12.75" customHeight="1">
      <c r="A29" s="2" t="s">
        <v>3758</v>
      </c>
      <c r="B29" s="3" t="s">
        <v>3510</v>
      </c>
      <c r="C29" s="44"/>
      <c r="D29" s="43"/>
      <c r="E29" s="44"/>
      <c r="F29" s="8"/>
      <c r="G29" s="23" t="s">
        <v>3983</v>
      </c>
      <c r="H29" s="43">
        <f>AVERAGE(F30:F33)</f>
        <v>8.2366817377629312E-2</v>
      </c>
      <c r="I29" s="8"/>
      <c r="J29" s="44"/>
      <c r="K29" s="9">
        <f t="shared" si="0"/>
        <v>0</v>
      </c>
      <c r="L29" s="43"/>
    </row>
    <row r="30" spans="1:12" ht="12.75" customHeight="1">
      <c r="A30" s="1" t="s">
        <v>3759</v>
      </c>
      <c r="B30" s="7">
        <v>38.72</v>
      </c>
      <c r="C30" s="9">
        <v>39.83</v>
      </c>
      <c r="D30" s="16">
        <f>(C30-B30)/B30</f>
        <v>2.8667355371900814E-2</v>
      </c>
      <c r="E30" s="9">
        <v>50.87</v>
      </c>
      <c r="F30" s="16">
        <f>(C30-E30)/E30</f>
        <v>-0.21702378612148612</v>
      </c>
      <c r="G30" s="40"/>
      <c r="J30" s="9">
        <v>25.33</v>
      </c>
      <c r="K30" s="9">
        <f t="shared" si="0"/>
        <v>35.461999999999996</v>
      </c>
      <c r="L30" s="16">
        <f>(C30-K30)/K30</f>
        <v>0.12317410185550738</v>
      </c>
    </row>
    <row r="31" spans="1:12" ht="12.75" customHeight="1">
      <c r="A31" s="1" t="s">
        <v>3760</v>
      </c>
      <c r="B31" s="7">
        <v>54.38</v>
      </c>
      <c r="C31" s="9">
        <v>55.95</v>
      </c>
      <c r="D31" s="16">
        <f>(C31-B31)/B31</f>
        <v>2.8870908422214053E-2</v>
      </c>
      <c r="E31" s="9">
        <v>50.87</v>
      </c>
      <c r="F31" s="16">
        <f>(C31-E31)/E31</f>
        <v>9.9862394338510033E-2</v>
      </c>
      <c r="G31" s="40"/>
      <c r="J31" s="9">
        <v>25.33</v>
      </c>
      <c r="K31" s="9">
        <f t="shared" si="0"/>
        <v>35.461999999999996</v>
      </c>
      <c r="L31" s="16">
        <f t="shared" ref="L31:L33" si="3">(C31-K31)/K31</f>
        <v>0.5777451920365464</v>
      </c>
    </row>
    <row r="32" spans="1:12" ht="12.75" customHeight="1">
      <c r="A32" s="1" t="s">
        <v>3761</v>
      </c>
      <c r="B32" s="7">
        <v>58.78</v>
      </c>
      <c r="C32" s="9">
        <v>60.53</v>
      </c>
      <c r="D32" s="16">
        <f>(C32-B32)/B32</f>
        <v>2.9772031303164342E-2</v>
      </c>
      <c r="E32" s="9">
        <v>50.87</v>
      </c>
      <c r="F32" s="16">
        <f>(C32-E32)/E32</f>
        <v>0.18989581285630044</v>
      </c>
      <c r="G32" s="40"/>
      <c r="J32" s="9">
        <v>25.33</v>
      </c>
      <c r="K32" s="9">
        <f t="shared" si="0"/>
        <v>35.461999999999996</v>
      </c>
      <c r="L32" s="16">
        <f t="shared" si="3"/>
        <v>0.70689752411031548</v>
      </c>
    </row>
    <row r="33" spans="1:12" ht="12.75" customHeight="1">
      <c r="A33" s="1" t="s">
        <v>3762</v>
      </c>
      <c r="B33" s="7">
        <v>63.18</v>
      </c>
      <c r="C33" s="9">
        <v>63.93</v>
      </c>
      <c r="D33" s="16">
        <f>(C33-B33)/B33</f>
        <v>1.1870845204178538E-2</v>
      </c>
      <c r="E33" s="9">
        <v>50.87</v>
      </c>
      <c r="F33" s="16">
        <f>(C33-E33)/E33</f>
        <v>0.25673284843719291</v>
      </c>
      <c r="G33" s="40"/>
      <c r="J33" s="9">
        <v>25.33</v>
      </c>
      <c r="K33" s="9">
        <f t="shared" si="0"/>
        <v>35.461999999999996</v>
      </c>
      <c r="L33" s="16">
        <f t="shared" si="3"/>
        <v>0.80277480119564626</v>
      </c>
    </row>
    <row r="34" spans="1:12">
      <c r="A34" s="1"/>
      <c r="B34" s="1"/>
      <c r="D34" s="16"/>
      <c r="E34" s="9"/>
      <c r="G34" s="40"/>
      <c r="J34" s="9"/>
      <c r="K34" s="9">
        <f t="shared" si="0"/>
        <v>0</v>
      </c>
      <c r="L34" s="16"/>
    </row>
    <row r="35" spans="1:12" ht="38.25">
      <c r="A35" s="2" t="s">
        <v>3763</v>
      </c>
      <c r="B35" s="1"/>
      <c r="C35" s="44"/>
      <c r="D35" s="43"/>
      <c r="E35" s="44"/>
      <c r="F35" s="8"/>
      <c r="G35" s="23" t="s">
        <v>3983</v>
      </c>
      <c r="H35" s="43">
        <f>AVERAGE(F36:F40)</f>
        <v>3.9332784184513928E-2</v>
      </c>
      <c r="I35" s="8"/>
      <c r="J35" s="44"/>
      <c r="K35" s="9">
        <f t="shared" si="0"/>
        <v>0</v>
      </c>
      <c r="L35" s="43"/>
    </row>
    <row r="36" spans="1:12" ht="12.75" customHeight="1">
      <c r="A36" s="1" t="s">
        <v>3764</v>
      </c>
      <c r="B36" s="7">
        <v>34.82</v>
      </c>
      <c r="C36" s="9">
        <v>35.33</v>
      </c>
      <c r="D36" s="16">
        <f>(C36-B36)/B36</f>
        <v>1.4646754738655888E-2</v>
      </c>
      <c r="E36" s="9">
        <v>48.56</v>
      </c>
      <c r="F36" s="16">
        <f>(C36-E36)/E36</f>
        <v>-0.27244645799011541</v>
      </c>
      <c r="G36" s="40"/>
      <c r="J36" s="9">
        <v>29.85</v>
      </c>
      <c r="K36" s="9">
        <f t="shared" si="0"/>
        <v>41.79</v>
      </c>
      <c r="L36" s="16">
        <f>(C36-K36)/K36</f>
        <v>-0.15458243598947119</v>
      </c>
    </row>
    <row r="37" spans="1:12" ht="12.75" customHeight="1">
      <c r="A37" s="1" t="s">
        <v>3765</v>
      </c>
      <c r="B37" s="7">
        <v>51.95</v>
      </c>
      <c r="C37" s="9">
        <v>52.82</v>
      </c>
      <c r="D37" s="16">
        <f>(C37-B37)/B37</f>
        <v>1.6746871992300238E-2</v>
      </c>
      <c r="E37" s="9">
        <v>48.56</v>
      </c>
      <c r="F37" s="16">
        <f>(C37-E37)/E37</f>
        <v>8.7726523887973598E-2</v>
      </c>
      <c r="G37" s="40"/>
      <c r="J37" s="9">
        <v>29.85</v>
      </c>
      <c r="K37" s="9">
        <f t="shared" si="0"/>
        <v>41.79</v>
      </c>
      <c r="L37" s="16">
        <f t="shared" ref="L37:L40" si="4">(C37-K37)/K37</f>
        <v>0.26393874132567602</v>
      </c>
    </row>
    <row r="38" spans="1:12" ht="12.75" customHeight="1">
      <c r="A38" s="1" t="s">
        <v>3601</v>
      </c>
      <c r="B38" s="7">
        <v>56.89</v>
      </c>
      <c r="C38" s="9">
        <v>57.86</v>
      </c>
      <c r="D38" s="16">
        <f>(C38-B38)/B38</f>
        <v>1.7050448233432922E-2</v>
      </c>
      <c r="E38" s="9">
        <v>48.56</v>
      </c>
      <c r="F38" s="16">
        <f>(C38-E38)/E38</f>
        <v>0.19151565074135085</v>
      </c>
      <c r="G38" s="40"/>
      <c r="J38" s="9">
        <v>29.85</v>
      </c>
      <c r="K38" s="9">
        <f t="shared" si="0"/>
        <v>41.79</v>
      </c>
      <c r="L38" s="16">
        <f t="shared" si="4"/>
        <v>0.38454175640105293</v>
      </c>
    </row>
    <row r="39" spans="1:12" ht="12.75" customHeight="1">
      <c r="A39" s="1" t="s">
        <v>3766</v>
      </c>
      <c r="B39" s="7">
        <v>61.9</v>
      </c>
      <c r="C39" s="9">
        <v>62.97</v>
      </c>
      <c r="D39" s="16">
        <f>(C39-B39)/B39</f>
        <v>1.7285945072697904E-2</v>
      </c>
      <c r="E39" s="9">
        <v>48.56</v>
      </c>
      <c r="F39" s="16">
        <f>(C39-E39)/E39</f>
        <v>0.29674629324546942</v>
      </c>
      <c r="G39" s="40"/>
      <c r="J39" s="9">
        <v>29.85</v>
      </c>
      <c r="K39" s="9">
        <f t="shared" si="0"/>
        <v>41.79</v>
      </c>
      <c r="L39" s="16">
        <f t="shared" si="4"/>
        <v>0.50681981335247672</v>
      </c>
    </row>
    <row r="40" spans="1:12" ht="12.75" customHeight="1">
      <c r="A40" s="1" t="s">
        <v>3532</v>
      </c>
      <c r="B40" s="7">
        <v>42.69</v>
      </c>
      <c r="C40" s="9">
        <v>43.37</v>
      </c>
      <c r="D40" s="16">
        <f>(C40-B40)/B40</f>
        <v>1.5928788943546494E-2</v>
      </c>
      <c r="E40" s="9">
        <v>48.56</v>
      </c>
      <c r="F40" s="16">
        <f>(C40-E40)/E40</f>
        <v>-0.10687808896210882</v>
      </c>
      <c r="G40" s="40"/>
      <c r="J40" s="9">
        <v>29.85</v>
      </c>
      <c r="K40" s="9">
        <f t="shared" si="0"/>
        <v>41.79</v>
      </c>
      <c r="L40" s="16">
        <f t="shared" si="4"/>
        <v>3.7808088059344304E-2</v>
      </c>
    </row>
    <row r="41" spans="1:12">
      <c r="A41" s="1"/>
      <c r="B41" s="1"/>
      <c r="D41" s="16"/>
      <c r="E41" s="9"/>
      <c r="G41" s="40"/>
      <c r="J41" s="9"/>
      <c r="K41" s="9">
        <f t="shared" si="0"/>
        <v>0</v>
      </c>
      <c r="L41" s="16"/>
    </row>
    <row r="42" spans="1:12">
      <c r="A42" s="2" t="s">
        <v>3533</v>
      </c>
      <c r="B42" s="1"/>
      <c r="C42" s="44"/>
      <c r="D42" s="43"/>
      <c r="E42" s="44"/>
      <c r="F42" s="8"/>
      <c r="G42" s="23" t="s">
        <v>3983</v>
      </c>
      <c r="H42" s="43">
        <f>AVERAGE(F43)</f>
        <v>5.7445868316395301E-3</v>
      </c>
      <c r="I42" s="8"/>
      <c r="J42" s="44"/>
      <c r="K42" s="9">
        <f t="shared" si="0"/>
        <v>0</v>
      </c>
      <c r="L42" s="43"/>
    </row>
    <row r="43" spans="1:12" ht="12.75" customHeight="1">
      <c r="A43" s="1" t="s">
        <v>3535</v>
      </c>
      <c r="B43" s="7">
        <v>44.31</v>
      </c>
      <c r="C43" s="9">
        <v>45.52</v>
      </c>
      <c r="D43" s="16">
        <f>(C43-B43)/B43</f>
        <v>2.7307605506657655E-2</v>
      </c>
      <c r="E43" s="9">
        <v>45.26</v>
      </c>
      <c r="F43" s="16">
        <f>(C43-E43)/E43</f>
        <v>5.7445868316395301E-3</v>
      </c>
      <c r="G43" s="40"/>
      <c r="J43" s="9"/>
      <c r="K43" s="9">
        <f t="shared" si="0"/>
        <v>0</v>
      </c>
      <c r="L43" s="16"/>
    </row>
    <row r="44" spans="1:12">
      <c r="A44" s="1"/>
      <c r="B44" s="1"/>
      <c r="D44" s="16"/>
      <c r="E44" s="9"/>
      <c r="G44" s="40"/>
      <c r="J44" s="9"/>
      <c r="K44" s="9">
        <f t="shared" si="0"/>
        <v>0</v>
      </c>
      <c r="L44" s="16"/>
    </row>
    <row r="45" spans="1:12" ht="12.75" customHeight="1">
      <c r="A45" s="2" t="s">
        <v>3536</v>
      </c>
      <c r="B45" s="3" t="s">
        <v>3510</v>
      </c>
      <c r="C45" s="44"/>
      <c r="D45" s="43"/>
      <c r="E45" s="44"/>
      <c r="F45" s="8"/>
      <c r="G45" s="23" t="s">
        <v>3983</v>
      </c>
      <c r="H45" s="43">
        <f>AVERAGE(F46:F49)</f>
        <v>9.3321761374018014E-2</v>
      </c>
      <c r="I45" s="8"/>
      <c r="J45" s="44"/>
      <c r="K45" s="9">
        <f t="shared" si="0"/>
        <v>0</v>
      </c>
      <c r="L45" s="43"/>
    </row>
    <row r="46" spans="1:12" ht="12.75" customHeight="1">
      <c r="A46" s="1" t="s">
        <v>3767</v>
      </c>
      <c r="B46" s="7">
        <v>54.74</v>
      </c>
      <c r="C46" s="9">
        <v>56.31</v>
      </c>
      <c r="D46" s="16">
        <f>(C46-B46)/B46</f>
        <v>2.8681037632444287E-2</v>
      </c>
      <c r="E46" s="9">
        <v>54.73</v>
      </c>
      <c r="F46" s="16">
        <f>(C46-E46)/E46</f>
        <v>2.8868993239539658E-2</v>
      </c>
      <c r="G46" s="40"/>
      <c r="J46" s="9">
        <v>30.01</v>
      </c>
      <c r="K46" s="9">
        <f t="shared" si="0"/>
        <v>42.014000000000003</v>
      </c>
      <c r="L46" s="16">
        <f>(C30-K46)/K46</f>
        <v>-5.1982672442519265E-2</v>
      </c>
    </row>
    <row r="47" spans="1:12" ht="12.75" customHeight="1">
      <c r="A47" s="1" t="s">
        <v>3768</v>
      </c>
      <c r="B47" s="7">
        <v>55.25</v>
      </c>
      <c r="C47" s="9">
        <v>56.83</v>
      </c>
      <c r="D47" s="16">
        <f>(C47-B47)/B47</f>
        <v>2.8597285067873273E-2</v>
      </c>
      <c r="E47" s="9">
        <v>54.73</v>
      </c>
      <c r="F47" s="16">
        <f>(C47-E47)/E47</f>
        <v>3.8370180887995646E-2</v>
      </c>
      <c r="G47" s="40"/>
      <c r="J47" s="9">
        <v>30.01</v>
      </c>
      <c r="K47" s="9">
        <f t="shared" si="0"/>
        <v>42.014000000000003</v>
      </c>
      <c r="L47" s="16">
        <f t="shared" ref="L47:L49" si="5">(C31-K47)/K47</f>
        <v>0.33169895749036032</v>
      </c>
    </row>
    <row r="48" spans="1:12" ht="12.75" customHeight="1">
      <c r="A48" s="1" t="s">
        <v>3539</v>
      </c>
      <c r="B48" s="7">
        <v>59.18</v>
      </c>
      <c r="C48" s="9">
        <v>60.84</v>
      </c>
      <c r="D48" s="16">
        <f>(C48-B48)/B48</f>
        <v>2.8050016897600602E-2</v>
      </c>
      <c r="E48" s="9">
        <v>54.73</v>
      </c>
      <c r="F48" s="16">
        <f>(C48-E48)/E48</f>
        <v>0.11163895486935879</v>
      </c>
      <c r="G48" s="40"/>
      <c r="J48" s="9">
        <v>30.01</v>
      </c>
      <c r="K48" s="9">
        <f t="shared" si="0"/>
        <v>42.014000000000003</v>
      </c>
      <c r="L48" s="16">
        <f t="shared" si="5"/>
        <v>0.44071023944399479</v>
      </c>
    </row>
    <row r="49" spans="1:12" ht="12.75" customHeight="1">
      <c r="A49" s="1" t="s">
        <v>3540</v>
      </c>
      <c r="B49" s="7">
        <v>63.62</v>
      </c>
      <c r="C49" s="9">
        <v>65.37</v>
      </c>
      <c r="D49" s="16">
        <f>(C49-B49)/B49</f>
        <v>2.7507073247406588E-2</v>
      </c>
      <c r="E49" s="9">
        <v>54.73</v>
      </c>
      <c r="F49" s="16">
        <f>(C49-E49)/E49</f>
        <v>0.19440891649917794</v>
      </c>
      <c r="G49" s="40"/>
      <c r="J49" s="9">
        <v>30.01</v>
      </c>
      <c r="K49" s="9">
        <f t="shared" si="0"/>
        <v>42.014000000000003</v>
      </c>
      <c r="L49" s="16">
        <f t="shared" si="5"/>
        <v>0.52163564526110329</v>
      </c>
    </row>
    <row r="50" spans="1:12">
      <c r="A50" s="1"/>
      <c r="B50" s="1"/>
      <c r="D50" s="16"/>
      <c r="E50" s="9"/>
      <c r="G50" s="40"/>
      <c r="J50" s="9"/>
      <c r="K50" s="9">
        <f t="shared" si="0"/>
        <v>0</v>
      </c>
      <c r="L50" s="16"/>
    </row>
    <row r="51" spans="1:12" ht="12.75" customHeight="1">
      <c r="A51" s="2" t="s">
        <v>3541</v>
      </c>
      <c r="B51" s="5" t="s">
        <v>3534</v>
      </c>
      <c r="C51" s="44"/>
      <c r="D51" s="43"/>
      <c r="E51" s="44"/>
      <c r="F51" s="8"/>
      <c r="G51" s="23" t="s">
        <v>3983</v>
      </c>
      <c r="H51" s="43">
        <f>AVERAGE(F52:F53)</f>
        <v>1.8613413715147048E-2</v>
      </c>
      <c r="I51" s="8"/>
      <c r="J51" s="44"/>
      <c r="K51" s="9">
        <f t="shared" si="0"/>
        <v>0</v>
      </c>
      <c r="L51" s="43"/>
    </row>
    <row r="52" spans="1:12" ht="12.75" customHeight="1">
      <c r="A52" s="1" t="s">
        <v>3542</v>
      </c>
      <c r="B52" s="7">
        <v>46.01</v>
      </c>
      <c r="C52" s="9">
        <v>64.58</v>
      </c>
      <c r="D52" s="16">
        <f>(C52-B52)/B52</f>
        <v>0.40360791132362533</v>
      </c>
      <c r="E52" s="9">
        <v>66.349999999999994</v>
      </c>
      <c r="F52" s="16">
        <f>(C52-E52)/E52</f>
        <v>-2.6676714393368443E-2</v>
      </c>
      <c r="G52" s="40"/>
      <c r="J52" s="9"/>
      <c r="K52" s="9">
        <f t="shared" si="0"/>
        <v>0</v>
      </c>
      <c r="L52" s="16"/>
    </row>
    <row r="53" spans="1:12" ht="12.75" customHeight="1">
      <c r="A53" s="1" t="s">
        <v>3769</v>
      </c>
      <c r="B53" s="7">
        <v>46.01</v>
      </c>
      <c r="C53" s="9">
        <v>70.59</v>
      </c>
      <c r="D53" s="16">
        <f>(C53-B53)/B53</f>
        <v>0.53423168876331251</v>
      </c>
      <c r="E53" s="9">
        <v>66.349999999999994</v>
      </c>
      <c r="F53" s="16">
        <f>(C53-E53)/E53</f>
        <v>6.3903541823662535E-2</v>
      </c>
      <c r="G53" s="40"/>
      <c r="J53" s="9"/>
      <c r="K53" s="9">
        <f t="shared" si="0"/>
        <v>0</v>
      </c>
      <c r="L53" s="16"/>
    </row>
    <row r="54" spans="1:12">
      <c r="A54" s="1"/>
      <c r="B54" s="1"/>
      <c r="D54" s="16"/>
      <c r="E54" s="9"/>
      <c r="G54" s="40"/>
      <c r="J54" s="9"/>
      <c r="K54" s="9">
        <f t="shared" si="0"/>
        <v>0</v>
      </c>
      <c r="L54" s="16"/>
    </row>
    <row r="55" spans="1:12" ht="12.75" customHeight="1">
      <c r="A55" s="2" t="s">
        <v>3544</v>
      </c>
      <c r="B55" s="5" t="s">
        <v>3534</v>
      </c>
      <c r="C55" s="44"/>
      <c r="D55" s="43"/>
      <c r="E55" s="44"/>
      <c r="F55" s="8"/>
      <c r="G55" s="23" t="s">
        <v>3984</v>
      </c>
      <c r="H55" s="8"/>
      <c r="I55" s="50">
        <f>AVERAGE(F56:F57)</f>
        <v>0</v>
      </c>
      <c r="J55" s="44"/>
      <c r="K55" s="9">
        <f t="shared" si="0"/>
        <v>0</v>
      </c>
      <c r="L55" s="43"/>
    </row>
    <row r="56" spans="1:12" ht="12.75" customHeight="1">
      <c r="A56" s="1" t="s">
        <v>3545</v>
      </c>
      <c r="B56" s="7">
        <v>16.97</v>
      </c>
      <c r="C56" s="9">
        <v>17.46</v>
      </c>
      <c r="D56" s="16">
        <f>(C56-B56)/B56</f>
        <v>2.8874484384207543E-2</v>
      </c>
      <c r="E56" s="9">
        <v>17.46</v>
      </c>
      <c r="F56" s="16">
        <f>(C56-E56)/E56</f>
        <v>0</v>
      </c>
      <c r="G56" s="40"/>
      <c r="J56" s="9">
        <v>15.37</v>
      </c>
      <c r="K56" s="9">
        <f t="shared" si="0"/>
        <v>21.517999999999997</v>
      </c>
      <c r="L56" s="16">
        <f>(C56-K56)/K56</f>
        <v>-0.1885862998419926</v>
      </c>
    </row>
    <row r="57" spans="1:12">
      <c r="A57" s="1"/>
      <c r="B57" s="1"/>
      <c r="D57" s="16"/>
      <c r="E57" s="9"/>
      <c r="G57" s="40"/>
      <c r="J57" s="9"/>
      <c r="K57" s="9">
        <f t="shared" si="0"/>
        <v>0</v>
      </c>
      <c r="L57" s="16"/>
    </row>
    <row r="58" spans="1:12" ht="24.75" customHeight="1">
      <c r="A58" s="2" t="s">
        <v>3495</v>
      </c>
      <c r="B58" s="3" t="s">
        <v>3547</v>
      </c>
      <c r="C58" s="17" t="s">
        <v>3485</v>
      </c>
      <c r="D58" s="43"/>
      <c r="E58" s="44"/>
      <c r="F58" s="8"/>
      <c r="G58" s="23"/>
      <c r="H58" s="8"/>
      <c r="I58" s="8"/>
      <c r="J58" s="44"/>
      <c r="K58" s="9">
        <f t="shared" si="0"/>
        <v>0</v>
      </c>
      <c r="L58" s="43"/>
    </row>
    <row r="59" spans="1:12" ht="12.75" customHeight="1">
      <c r="A59" s="1" t="s">
        <v>3548</v>
      </c>
      <c r="B59" s="7">
        <v>41.44</v>
      </c>
      <c r="C59" s="9">
        <v>41.44</v>
      </c>
      <c r="D59" s="16">
        <f>(C59-B59)/B59</f>
        <v>0</v>
      </c>
      <c r="E59" s="9"/>
      <c r="G59" s="40"/>
      <c r="J59" s="9"/>
      <c r="K59" s="9">
        <f t="shared" si="0"/>
        <v>0</v>
      </c>
      <c r="L59" s="16"/>
    </row>
    <row r="60" spans="1:12">
      <c r="A60" s="1"/>
      <c r="B60" s="1"/>
      <c r="D60" s="16"/>
      <c r="E60" s="9"/>
      <c r="G60" s="40"/>
      <c r="J60" s="9"/>
      <c r="K60" s="9">
        <f t="shared" si="0"/>
        <v>0</v>
      </c>
      <c r="L60" s="16"/>
    </row>
    <row r="61" spans="1:12">
      <c r="A61" s="2" t="s">
        <v>3549</v>
      </c>
      <c r="B61" s="1"/>
      <c r="C61" s="44"/>
      <c r="D61" s="43"/>
      <c r="E61" s="44"/>
      <c r="F61" s="8"/>
      <c r="G61" s="23" t="s">
        <v>3983</v>
      </c>
      <c r="H61" s="43">
        <f>AVERAGE(F62:F63)</f>
        <v>4.0111291444470135E-2</v>
      </c>
      <c r="I61" s="8"/>
      <c r="J61" s="44"/>
      <c r="K61" s="9">
        <f t="shared" si="0"/>
        <v>0</v>
      </c>
      <c r="L61" s="43"/>
    </row>
    <row r="62" spans="1:12" ht="12.75" customHeight="1">
      <c r="A62" s="1" t="s">
        <v>3770</v>
      </c>
      <c r="B62" s="7">
        <v>41.83</v>
      </c>
      <c r="C62" s="9">
        <v>42.4</v>
      </c>
      <c r="D62" s="16">
        <f>(C62-B62)/B62</f>
        <v>1.3626583791537182E-2</v>
      </c>
      <c r="E62" s="9">
        <v>43.13</v>
      </c>
      <c r="F62" s="16">
        <f>(C62-E62)/E62</f>
        <v>-1.6925573846510642E-2</v>
      </c>
      <c r="G62" s="40"/>
      <c r="J62" s="9">
        <v>23.63</v>
      </c>
      <c r="K62" s="9">
        <f t="shared" si="0"/>
        <v>33.081999999999994</v>
      </c>
      <c r="L62" s="16">
        <f>(C62-K62)/K62</f>
        <v>0.28166374463454469</v>
      </c>
    </row>
    <row r="63" spans="1:12" ht="12.75" customHeight="1">
      <c r="A63" s="1" t="s">
        <v>3551</v>
      </c>
      <c r="B63" s="7">
        <v>46.76</v>
      </c>
      <c r="C63" s="9">
        <v>47.32</v>
      </c>
      <c r="D63" s="16">
        <f>(C63-B63)/B63</f>
        <v>1.1976047904191666E-2</v>
      </c>
      <c r="E63" s="9">
        <v>43.13</v>
      </c>
      <c r="F63" s="16">
        <f>(C63-E63)/E63</f>
        <v>9.7148156735450908E-2</v>
      </c>
      <c r="G63" s="40"/>
      <c r="J63" s="9">
        <v>23.63</v>
      </c>
      <c r="K63" s="9">
        <f t="shared" si="0"/>
        <v>33.081999999999994</v>
      </c>
      <c r="L63" s="16">
        <f>(C63-K63)/K63</f>
        <v>0.43038510368176075</v>
      </c>
    </row>
    <row r="64" spans="1:12">
      <c r="A64" s="1"/>
      <c r="B64" s="1"/>
      <c r="D64" s="16"/>
      <c r="E64" s="9"/>
      <c r="G64" s="40"/>
      <c r="J64" s="9"/>
      <c r="K64" s="9">
        <f t="shared" si="0"/>
        <v>0</v>
      </c>
      <c r="L64" s="16"/>
    </row>
    <row r="65" spans="1:12" ht="12.75" customHeight="1">
      <c r="A65" s="2" t="s">
        <v>3552</v>
      </c>
      <c r="B65" s="5" t="s">
        <v>3534</v>
      </c>
      <c r="C65" s="44"/>
      <c r="D65" s="43"/>
      <c r="E65" s="44"/>
      <c r="F65" s="8"/>
      <c r="G65" s="23" t="s">
        <v>3983</v>
      </c>
      <c r="H65" s="43">
        <f>AVERAGE(F66:F67)</f>
        <v>0.17912957467853619</v>
      </c>
      <c r="I65" s="8"/>
      <c r="J65" s="44"/>
      <c r="K65" s="9">
        <f t="shared" si="0"/>
        <v>0</v>
      </c>
      <c r="L65" s="43"/>
    </row>
    <row r="66" spans="1:12" ht="12.75" customHeight="1">
      <c r="A66" s="1" t="s">
        <v>3771</v>
      </c>
      <c r="B66" s="7">
        <v>54.72</v>
      </c>
      <c r="C66" s="9">
        <v>57.51</v>
      </c>
      <c r="D66" s="16">
        <f>(C66-B66)/B66</f>
        <v>5.0986842105263143E-2</v>
      </c>
      <c r="E66" s="9">
        <v>50.55</v>
      </c>
      <c r="F66" s="16">
        <f>(C66-E66)/E66</f>
        <v>0.13768545994065284</v>
      </c>
      <c r="G66" s="40"/>
      <c r="J66" s="9">
        <v>28.1</v>
      </c>
      <c r="K66" s="9">
        <f t="shared" si="0"/>
        <v>39.339999999999996</v>
      </c>
      <c r="L66" s="16">
        <f>(C66-K66)/K66</f>
        <v>0.46187086934417904</v>
      </c>
    </row>
    <row r="67" spans="1:12" ht="12.75" customHeight="1">
      <c r="A67" s="1" t="s">
        <v>3772</v>
      </c>
      <c r="B67" s="7">
        <v>58.81</v>
      </c>
      <c r="C67" s="9">
        <v>61.7</v>
      </c>
      <c r="D67" s="16">
        <f>(C67-B67)/B67</f>
        <v>4.9141302499574907E-2</v>
      </c>
      <c r="E67" s="9">
        <v>50.55</v>
      </c>
      <c r="F67" s="16">
        <f>(C67-E67)/E67</f>
        <v>0.2205736894164195</v>
      </c>
      <c r="G67" s="40"/>
      <c r="J67" s="9">
        <v>28.1</v>
      </c>
      <c r="K67" s="9">
        <f t="shared" si="0"/>
        <v>39.339999999999996</v>
      </c>
      <c r="L67" s="16">
        <f>(C67-K67)/K67</f>
        <v>0.56837824097610601</v>
      </c>
    </row>
    <row r="68" spans="1:12">
      <c r="A68" s="1"/>
      <c r="B68" s="1"/>
      <c r="D68" s="16"/>
      <c r="E68" s="9"/>
      <c r="G68" s="40"/>
      <c r="J68" s="9"/>
      <c r="K68" s="9">
        <f t="shared" si="0"/>
        <v>0</v>
      </c>
      <c r="L68" s="16"/>
    </row>
    <row r="69" spans="1:12" ht="12.75" customHeight="1">
      <c r="A69" s="2" t="s">
        <v>3554</v>
      </c>
      <c r="B69" s="5" t="s">
        <v>3534</v>
      </c>
      <c r="C69" s="44"/>
      <c r="D69" s="43"/>
      <c r="E69" s="44"/>
      <c r="F69" s="8"/>
      <c r="G69" s="23" t="s">
        <v>3984</v>
      </c>
      <c r="H69" s="8"/>
      <c r="I69" s="50">
        <f>AVERAGE(F70)</f>
        <v>0</v>
      </c>
      <c r="J69" s="44"/>
      <c r="K69" s="9">
        <f t="shared" si="0"/>
        <v>0</v>
      </c>
      <c r="L69" s="43"/>
    </row>
    <row r="70" spans="1:12" ht="12.75" customHeight="1">
      <c r="A70" s="1" t="s">
        <v>3555</v>
      </c>
      <c r="B70" s="7">
        <v>24.34</v>
      </c>
      <c r="C70" s="9">
        <v>30.81</v>
      </c>
      <c r="D70" s="16">
        <f>(C70-B70)/B70</f>
        <v>0.26581758422350038</v>
      </c>
      <c r="E70" s="9">
        <v>30.81</v>
      </c>
      <c r="F70" s="16">
        <f>(C70-E70)/E70</f>
        <v>0</v>
      </c>
      <c r="G70" s="40"/>
      <c r="J70" s="9"/>
      <c r="K70" s="9">
        <f t="shared" si="0"/>
        <v>0</v>
      </c>
      <c r="L70" s="16"/>
    </row>
    <row r="71" spans="1:12">
      <c r="A71" s="143"/>
      <c r="B71" s="143"/>
      <c r="D71" s="16"/>
      <c r="E71" s="9"/>
      <c r="G71" s="40"/>
      <c r="J71" s="9"/>
      <c r="K71" s="9">
        <f t="shared" si="0"/>
        <v>0</v>
      </c>
      <c r="L71" s="16"/>
    </row>
    <row r="72" spans="1:12" ht="12.75" customHeight="1">
      <c r="A72" s="2" t="s">
        <v>3773</v>
      </c>
      <c r="B72" s="3" t="s">
        <v>3547</v>
      </c>
      <c r="D72" s="16"/>
      <c r="E72" s="9"/>
      <c r="G72" s="40" t="s">
        <v>3983</v>
      </c>
      <c r="H72" s="16">
        <f>AVERAGE(F73)</f>
        <v>3.0945013092121026E-2</v>
      </c>
      <c r="J72" s="9"/>
      <c r="K72" s="9">
        <f t="shared" si="0"/>
        <v>0</v>
      </c>
      <c r="L72" s="16"/>
    </row>
    <row r="73" spans="1:12" ht="12.75" customHeight="1">
      <c r="A73" s="1" t="s">
        <v>3774</v>
      </c>
      <c r="B73" s="7">
        <v>43.31</v>
      </c>
      <c r="C73" s="9">
        <v>43.31</v>
      </c>
      <c r="D73" s="16">
        <f>(C73-B73)/B73</f>
        <v>0</v>
      </c>
      <c r="E73" s="9">
        <v>42.01</v>
      </c>
      <c r="F73" s="16">
        <f>(C73-E73)/E73</f>
        <v>3.0945013092121026E-2</v>
      </c>
      <c r="G73" s="40"/>
      <c r="H73" s="16"/>
      <c r="J73" s="9"/>
      <c r="K73" s="9">
        <f t="shared" si="0"/>
        <v>0</v>
      </c>
      <c r="L73" s="16"/>
    </row>
    <row r="74" spans="1:12">
      <c r="A74" s="143"/>
      <c r="B74" s="143"/>
      <c r="D74" s="16"/>
      <c r="E74" s="9"/>
      <c r="G74" s="40"/>
      <c r="J74" s="9"/>
      <c r="K74" s="9">
        <f t="shared" si="0"/>
        <v>0</v>
      </c>
      <c r="L74" s="16"/>
    </row>
    <row r="75" spans="1:12" ht="12.75" customHeight="1">
      <c r="A75" s="2" t="s">
        <v>3775</v>
      </c>
      <c r="B75" s="3" t="s">
        <v>3547</v>
      </c>
      <c r="C75" s="44"/>
      <c r="D75" s="43"/>
      <c r="E75" s="44"/>
      <c r="F75" s="8"/>
      <c r="G75" s="23" t="s">
        <v>3983</v>
      </c>
      <c r="H75" s="43">
        <f>AVERAGE(F76:F78)</f>
        <v>3.7588332581566679E-2</v>
      </c>
      <c r="I75" s="8"/>
      <c r="J75" s="44"/>
      <c r="K75" s="9">
        <f t="shared" ref="K75:K138" si="6">J75*1.4</f>
        <v>0</v>
      </c>
      <c r="L75" s="43"/>
    </row>
    <row r="76" spans="1:12" ht="12.75" customHeight="1">
      <c r="A76" s="1" t="s">
        <v>3560</v>
      </c>
      <c r="B76" s="7">
        <v>44.34</v>
      </c>
      <c r="C76" s="9">
        <v>44.34</v>
      </c>
      <c r="D76" s="16">
        <f>(C76-B76)/B76</f>
        <v>0</v>
      </c>
      <c r="E76" s="9">
        <v>44.34</v>
      </c>
      <c r="F76" s="16">
        <f>(C76-E76)/E76</f>
        <v>0</v>
      </c>
      <c r="G76" s="40"/>
      <c r="J76" s="9"/>
      <c r="K76" s="9">
        <f t="shared" si="6"/>
        <v>0</v>
      </c>
      <c r="L76" s="16"/>
    </row>
    <row r="77" spans="1:12" ht="12.75" customHeight="1">
      <c r="A77" s="1" t="s">
        <v>3562</v>
      </c>
      <c r="B77" s="7">
        <v>46.34</v>
      </c>
      <c r="C77" s="9">
        <v>46.34</v>
      </c>
      <c r="D77" s="16">
        <f>(C77-B77)/B77</f>
        <v>0</v>
      </c>
      <c r="E77" s="9">
        <v>44.34</v>
      </c>
      <c r="F77" s="16">
        <f>(C77-E77)/E77</f>
        <v>4.5105999097880017E-2</v>
      </c>
      <c r="G77" s="40"/>
      <c r="J77" s="9"/>
      <c r="K77" s="9">
        <f t="shared" si="6"/>
        <v>0</v>
      </c>
      <c r="L77" s="16"/>
    </row>
    <row r="78" spans="1:12" ht="12.75" customHeight="1">
      <c r="A78" s="1" t="s">
        <v>3776</v>
      </c>
      <c r="B78" s="7">
        <v>47.34</v>
      </c>
      <c r="C78" s="9">
        <v>47.34</v>
      </c>
      <c r="D78" s="16">
        <f>(C78-B78)/B78</f>
        <v>0</v>
      </c>
      <c r="E78" s="9">
        <v>44.34</v>
      </c>
      <c r="F78" s="16">
        <f>(C78-E78)/E78</f>
        <v>6.7658998646820026E-2</v>
      </c>
      <c r="G78" s="40"/>
      <c r="J78" s="9"/>
      <c r="K78" s="9">
        <f t="shared" si="6"/>
        <v>0</v>
      </c>
      <c r="L78" s="16"/>
    </row>
    <row r="79" spans="1:12">
      <c r="A79" s="1"/>
      <c r="B79" s="1"/>
      <c r="D79" s="16"/>
      <c r="E79" s="9"/>
      <c r="G79" s="40"/>
      <c r="J79" s="9"/>
      <c r="K79" s="9">
        <f t="shared" si="6"/>
        <v>0</v>
      </c>
      <c r="L79" s="16"/>
    </row>
    <row r="80" spans="1:12" ht="12.75" customHeight="1">
      <c r="A80" s="2" t="s">
        <v>3563</v>
      </c>
      <c r="B80" s="3" t="s">
        <v>3564</v>
      </c>
      <c r="C80" s="44"/>
      <c r="D80" s="43"/>
      <c r="E80" s="44"/>
      <c r="F80" s="8"/>
      <c r="G80" s="23" t="s">
        <v>3983</v>
      </c>
      <c r="H80" s="43">
        <f>AVERAGE(F81:F83)</f>
        <v>4.9632995456134234E-2</v>
      </c>
      <c r="I80" s="8"/>
      <c r="J80" s="44"/>
      <c r="K80" s="9">
        <f t="shared" si="6"/>
        <v>0</v>
      </c>
      <c r="L80" s="43"/>
    </row>
    <row r="81" spans="1:12" ht="12.75" customHeight="1">
      <c r="A81" s="1" t="s">
        <v>3565</v>
      </c>
      <c r="B81" s="7">
        <v>54.38</v>
      </c>
      <c r="C81" s="9">
        <v>56.74</v>
      </c>
      <c r="D81" s="16">
        <f>(C81-B81)/B81</f>
        <v>4.3398308201544673E-2</v>
      </c>
      <c r="E81" s="9">
        <v>57.22</v>
      </c>
      <c r="F81" s="16">
        <f>(C81-E81)/E81</f>
        <v>-8.3886752883606582E-3</v>
      </c>
      <c r="G81" s="40"/>
      <c r="J81" s="9">
        <v>26.25</v>
      </c>
      <c r="K81" s="9">
        <f t="shared" si="6"/>
        <v>36.75</v>
      </c>
      <c r="L81" s="16">
        <f>(C81-K81)/K81</f>
        <v>0.54394557823129253</v>
      </c>
    </row>
    <row r="82" spans="1:12" ht="12.75" customHeight="1">
      <c r="A82" s="1" t="s">
        <v>3566</v>
      </c>
      <c r="B82" s="7">
        <v>57.68</v>
      </c>
      <c r="C82" s="9">
        <v>60.04</v>
      </c>
      <c r="D82" s="16">
        <f>(C82-B82)/B82</f>
        <v>4.0915395284327312E-2</v>
      </c>
      <c r="E82" s="9">
        <v>57.22</v>
      </c>
      <c r="F82" s="16">
        <f>(C82-E82)/E82</f>
        <v>4.9283467319119194E-2</v>
      </c>
      <c r="G82" s="40"/>
      <c r="J82" s="9">
        <v>26.25</v>
      </c>
      <c r="K82" s="9">
        <f t="shared" si="6"/>
        <v>36.75</v>
      </c>
      <c r="L82" s="16">
        <f t="shared" ref="L82:L83" si="7">(C82-K82)/K82</f>
        <v>0.63374149659863943</v>
      </c>
    </row>
    <row r="83" spans="1:12" ht="12.75" customHeight="1">
      <c r="A83" s="1" t="s">
        <v>3567</v>
      </c>
      <c r="B83" s="7">
        <v>61.04</v>
      </c>
      <c r="C83" s="9">
        <v>63.4</v>
      </c>
      <c r="D83" s="16">
        <f>(C83-B83)/B83</f>
        <v>3.8663171690694616E-2</v>
      </c>
      <c r="E83" s="9">
        <v>57.22</v>
      </c>
      <c r="F83" s="16">
        <f>(C83-E83)/E83</f>
        <v>0.10800419433764417</v>
      </c>
      <c r="G83" s="40"/>
      <c r="J83" s="9">
        <v>26.25</v>
      </c>
      <c r="K83" s="9">
        <f t="shared" si="6"/>
        <v>36.75</v>
      </c>
      <c r="L83" s="16">
        <f t="shared" si="7"/>
        <v>0.72517006802721085</v>
      </c>
    </row>
    <row r="84" spans="1:12">
      <c r="A84" s="143"/>
      <c r="B84" s="143"/>
      <c r="D84" s="16"/>
      <c r="E84" s="9"/>
      <c r="G84" s="40"/>
      <c r="J84" s="9"/>
      <c r="K84" s="9">
        <f t="shared" si="6"/>
        <v>0</v>
      </c>
      <c r="L84" s="16"/>
    </row>
    <row r="85" spans="1:12" ht="12.75" customHeight="1">
      <c r="A85" s="144" t="s">
        <v>3568</v>
      </c>
      <c r="B85" s="144"/>
      <c r="D85" s="16"/>
      <c r="E85" s="9"/>
      <c r="G85" s="40"/>
      <c r="J85" s="9"/>
      <c r="K85" s="9">
        <f t="shared" si="6"/>
        <v>0</v>
      </c>
      <c r="L85" s="16"/>
    </row>
    <row r="86" spans="1:12" ht="12.75" customHeight="1">
      <c r="A86" s="3" t="s">
        <v>3569</v>
      </c>
      <c r="B86" s="3" t="s">
        <v>3510</v>
      </c>
      <c r="C86" s="44"/>
      <c r="D86" s="43"/>
      <c r="E86" s="44"/>
      <c r="F86" s="8"/>
      <c r="G86" s="23" t="s">
        <v>3983</v>
      </c>
      <c r="H86" s="43">
        <f>AVERAGE(F87:F97)</f>
        <v>4.7584391121005251E-2</v>
      </c>
      <c r="I86" s="8"/>
      <c r="J86" s="44"/>
      <c r="K86" s="9">
        <f t="shared" si="6"/>
        <v>0</v>
      </c>
      <c r="L86" s="43"/>
    </row>
    <row r="87" spans="1:12" ht="12.75" customHeight="1">
      <c r="A87" s="1" t="s">
        <v>3573</v>
      </c>
      <c r="B87" s="7">
        <v>42.94</v>
      </c>
      <c r="C87" s="9">
        <v>42.94</v>
      </c>
      <c r="D87" s="16">
        <f t="shared" ref="D87:D97" si="8">(C87-B87)/B87</f>
        <v>0</v>
      </c>
      <c r="E87" s="9">
        <v>42.47</v>
      </c>
      <c r="F87" s="16">
        <f t="shared" ref="F87:F97" si="9">(C87-E87)/E87</f>
        <v>1.1066635271956648E-2</v>
      </c>
      <c r="G87" s="40"/>
      <c r="J87" s="9">
        <v>19.149999999999999</v>
      </c>
      <c r="K87" s="9">
        <f t="shared" si="6"/>
        <v>26.809999999999995</v>
      </c>
      <c r="L87" s="16">
        <f>(C87-K87)/K87</f>
        <v>0.60164117866467759</v>
      </c>
    </row>
    <row r="88" spans="1:12" ht="12.75" customHeight="1">
      <c r="A88" s="1" t="s">
        <v>3575</v>
      </c>
      <c r="B88" s="7">
        <v>43.15</v>
      </c>
      <c r="C88" s="9">
        <v>43.15</v>
      </c>
      <c r="D88" s="16">
        <f t="shared" si="8"/>
        <v>0</v>
      </c>
      <c r="E88" s="9">
        <v>42.47</v>
      </c>
      <c r="F88" s="16">
        <f t="shared" si="9"/>
        <v>1.6011302095596886E-2</v>
      </c>
      <c r="G88" s="40"/>
      <c r="J88" s="9">
        <v>19.149999999999999</v>
      </c>
      <c r="K88" s="9">
        <f t="shared" si="6"/>
        <v>26.809999999999995</v>
      </c>
      <c r="L88" s="16">
        <f t="shared" ref="L88:L97" si="10">(C88-K88)/K88</f>
        <v>0.60947407683700139</v>
      </c>
    </row>
    <row r="89" spans="1:12" ht="12.75" customHeight="1">
      <c r="A89" s="1" t="s">
        <v>3576</v>
      </c>
      <c r="B89" s="7">
        <v>43.25</v>
      </c>
      <c r="C89" s="9">
        <v>43.25</v>
      </c>
      <c r="D89" s="16">
        <f t="shared" si="8"/>
        <v>0</v>
      </c>
      <c r="E89" s="9">
        <v>42.47</v>
      </c>
      <c r="F89" s="16">
        <f t="shared" si="9"/>
        <v>1.8365905344949404E-2</v>
      </c>
      <c r="G89" s="40"/>
      <c r="J89" s="9">
        <v>19.149999999999999</v>
      </c>
      <c r="K89" s="9">
        <f t="shared" si="6"/>
        <v>26.809999999999995</v>
      </c>
      <c r="L89" s="16">
        <f t="shared" si="10"/>
        <v>0.61320402834763177</v>
      </c>
    </row>
    <row r="90" spans="1:12" ht="12.75" customHeight="1">
      <c r="A90" s="1" t="s">
        <v>3577</v>
      </c>
      <c r="B90" s="7">
        <v>43.34</v>
      </c>
      <c r="C90" s="9">
        <v>43.34</v>
      </c>
      <c r="D90" s="16">
        <f t="shared" si="8"/>
        <v>0</v>
      </c>
      <c r="E90" s="9">
        <v>42.47</v>
      </c>
      <c r="F90" s="16">
        <f t="shared" si="9"/>
        <v>2.0485048269366719E-2</v>
      </c>
      <c r="G90" s="40"/>
      <c r="J90" s="9">
        <v>19.149999999999999</v>
      </c>
      <c r="K90" s="9">
        <f t="shared" si="6"/>
        <v>26.809999999999995</v>
      </c>
      <c r="L90" s="16">
        <f t="shared" si="10"/>
        <v>0.61656098470719922</v>
      </c>
    </row>
    <row r="91" spans="1:12" ht="12.75" customHeight="1">
      <c r="A91" s="1" t="s">
        <v>3579</v>
      </c>
      <c r="B91" s="7">
        <v>43.44</v>
      </c>
      <c r="C91" s="9">
        <v>43.44</v>
      </c>
      <c r="D91" s="16">
        <f t="shared" si="8"/>
        <v>0</v>
      </c>
      <c r="E91" s="9">
        <v>42.47</v>
      </c>
      <c r="F91" s="16">
        <f t="shared" si="9"/>
        <v>2.283965151871907E-2</v>
      </c>
      <c r="G91" s="40"/>
      <c r="J91" s="9">
        <v>19.149999999999999</v>
      </c>
      <c r="K91" s="9">
        <f t="shared" si="6"/>
        <v>26.809999999999995</v>
      </c>
      <c r="L91" s="16">
        <f t="shared" si="10"/>
        <v>0.62029093621782938</v>
      </c>
    </row>
    <row r="92" spans="1:12" ht="12.75" customHeight="1">
      <c r="A92" s="1" t="s">
        <v>3777</v>
      </c>
      <c r="B92" s="7">
        <v>46.1</v>
      </c>
      <c r="C92" s="9">
        <v>46.1</v>
      </c>
      <c r="D92" s="16">
        <f t="shared" si="8"/>
        <v>0</v>
      </c>
      <c r="E92" s="9">
        <v>42.47</v>
      </c>
      <c r="F92" s="16">
        <f t="shared" si="9"/>
        <v>8.5472097951495241E-2</v>
      </c>
      <c r="G92" s="40"/>
      <c r="J92" s="9">
        <v>19.149999999999999</v>
      </c>
      <c r="K92" s="9">
        <f t="shared" si="6"/>
        <v>26.809999999999995</v>
      </c>
      <c r="L92" s="16">
        <f t="shared" si="10"/>
        <v>0.71950764640059717</v>
      </c>
    </row>
    <row r="93" spans="1:12" ht="12.75" customHeight="1">
      <c r="A93" s="1" t="s">
        <v>3778</v>
      </c>
      <c r="B93" s="7">
        <v>45.6</v>
      </c>
      <c r="C93" s="9">
        <v>45.6</v>
      </c>
      <c r="D93" s="16">
        <f t="shared" si="8"/>
        <v>0</v>
      </c>
      <c r="E93" s="9">
        <v>42.47</v>
      </c>
      <c r="F93" s="16">
        <f t="shared" si="9"/>
        <v>7.3699081704732813E-2</v>
      </c>
      <c r="G93" s="40"/>
      <c r="J93" s="9">
        <v>19.149999999999999</v>
      </c>
      <c r="K93" s="9">
        <f t="shared" si="6"/>
        <v>26.809999999999995</v>
      </c>
      <c r="L93" s="16">
        <f t="shared" si="10"/>
        <v>0.70085788884744538</v>
      </c>
    </row>
    <row r="94" spans="1:12" ht="12.75" customHeight="1">
      <c r="A94" s="1" t="s">
        <v>3779</v>
      </c>
      <c r="B94" s="7">
        <v>45.35</v>
      </c>
      <c r="C94" s="9">
        <v>45.35</v>
      </c>
      <c r="D94" s="16">
        <f t="shared" si="8"/>
        <v>0</v>
      </c>
      <c r="E94" s="9">
        <v>42.47</v>
      </c>
      <c r="F94" s="16">
        <f t="shared" si="9"/>
        <v>6.7812573581351607E-2</v>
      </c>
      <c r="G94" s="40"/>
      <c r="J94" s="9">
        <v>19.149999999999999</v>
      </c>
      <c r="K94" s="9">
        <f t="shared" si="6"/>
        <v>26.809999999999995</v>
      </c>
      <c r="L94" s="16">
        <f t="shared" si="10"/>
        <v>0.69153301007086942</v>
      </c>
    </row>
    <row r="95" spans="1:12" ht="12.75" customHeight="1">
      <c r="A95" s="1" t="s">
        <v>3780</v>
      </c>
      <c r="B95" s="7">
        <v>45.96</v>
      </c>
      <c r="C95" s="9">
        <v>45.96</v>
      </c>
      <c r="D95" s="16">
        <f t="shared" si="8"/>
        <v>0</v>
      </c>
      <c r="E95" s="9">
        <v>42.47</v>
      </c>
      <c r="F95" s="16">
        <f t="shared" si="9"/>
        <v>8.2175653402401738E-2</v>
      </c>
      <c r="G95" s="40"/>
      <c r="J95" s="9">
        <v>19.149999999999999</v>
      </c>
      <c r="K95" s="9">
        <f t="shared" si="6"/>
        <v>26.809999999999995</v>
      </c>
      <c r="L95" s="16">
        <f t="shared" si="10"/>
        <v>0.71428571428571463</v>
      </c>
    </row>
    <row r="96" spans="1:12" ht="12.75" customHeight="1">
      <c r="A96" s="1" t="s">
        <v>3781</v>
      </c>
      <c r="B96" s="7">
        <v>45.6</v>
      </c>
      <c r="C96" s="9">
        <v>45.6</v>
      </c>
      <c r="D96" s="16">
        <f t="shared" si="8"/>
        <v>0</v>
      </c>
      <c r="E96" s="9">
        <v>42.47</v>
      </c>
      <c r="F96" s="16">
        <f t="shared" si="9"/>
        <v>7.3699081704732813E-2</v>
      </c>
      <c r="G96" s="40"/>
      <c r="J96" s="9">
        <v>19.149999999999999</v>
      </c>
      <c r="K96" s="9">
        <f t="shared" si="6"/>
        <v>26.809999999999995</v>
      </c>
      <c r="L96" s="16">
        <f t="shared" si="10"/>
        <v>0.70085788884744538</v>
      </c>
    </row>
    <row r="97" spans="1:12" ht="12.75" customHeight="1">
      <c r="A97" s="1" t="s">
        <v>3593</v>
      </c>
      <c r="B97" s="7">
        <v>44.67</v>
      </c>
      <c r="C97" s="9">
        <v>44.67</v>
      </c>
      <c r="D97" s="16">
        <f t="shared" si="8"/>
        <v>0</v>
      </c>
      <c r="E97" s="9">
        <v>42.47</v>
      </c>
      <c r="F97" s="16">
        <f t="shared" si="9"/>
        <v>5.1801271485754717E-2</v>
      </c>
      <c r="G97" s="40"/>
      <c r="J97" s="9">
        <v>19.149999999999999</v>
      </c>
      <c r="K97" s="9">
        <f t="shared" si="6"/>
        <v>26.809999999999995</v>
      </c>
      <c r="L97" s="16">
        <f t="shared" si="10"/>
        <v>0.66616933979858295</v>
      </c>
    </row>
    <row r="98" spans="1:12" ht="12.75" customHeight="1">
      <c r="A98" s="143" t="s">
        <v>3782</v>
      </c>
      <c r="B98" s="143"/>
      <c r="D98" s="16"/>
      <c r="E98" s="9"/>
      <c r="G98" s="40"/>
      <c r="J98" s="9"/>
      <c r="K98" s="9">
        <f t="shared" si="6"/>
        <v>0</v>
      </c>
      <c r="L98" s="16"/>
    </row>
    <row r="99" spans="1:12" ht="12.75" customHeight="1">
      <c r="A99" s="143" t="s">
        <v>3783</v>
      </c>
      <c r="B99" s="143"/>
      <c r="D99" s="16"/>
      <c r="E99" s="9"/>
      <c r="G99" s="40"/>
      <c r="J99" s="9"/>
      <c r="K99" s="9">
        <f t="shared" si="6"/>
        <v>0</v>
      </c>
      <c r="L99" s="16"/>
    </row>
    <row r="100" spans="1:12">
      <c r="A100" s="143"/>
      <c r="B100" s="143"/>
      <c r="D100" s="16"/>
      <c r="E100" s="9"/>
      <c r="G100" s="40"/>
      <c r="J100" s="9"/>
      <c r="K100" s="9">
        <f t="shared" si="6"/>
        <v>0</v>
      </c>
      <c r="L100" s="16"/>
    </row>
    <row r="101" spans="1:12">
      <c r="A101" s="2" t="s">
        <v>3585</v>
      </c>
      <c r="B101" s="1"/>
      <c r="C101" s="44"/>
      <c r="D101" s="43"/>
      <c r="E101" s="44"/>
      <c r="F101" s="8"/>
      <c r="G101" s="23" t="s">
        <v>3983</v>
      </c>
      <c r="H101" s="43">
        <f>AVERAGE(F102:F104)</f>
        <v>7.7675176534492199E-2</v>
      </c>
      <c r="I101" s="8"/>
      <c r="J101" s="44"/>
      <c r="K101" s="9">
        <f t="shared" si="6"/>
        <v>0</v>
      </c>
      <c r="L101" s="43"/>
    </row>
    <row r="102" spans="1:12" ht="12.75" customHeight="1">
      <c r="A102" s="1" t="s">
        <v>3784</v>
      </c>
      <c r="B102" s="7">
        <v>55.63</v>
      </c>
      <c r="C102" s="9">
        <v>56.23</v>
      </c>
      <c r="D102" s="16">
        <f>(C102-B102)/B102</f>
        <v>1.0785547366528748E-2</v>
      </c>
      <c r="E102" s="9">
        <v>55.23</v>
      </c>
      <c r="F102" s="16">
        <f>(C102-E102)/E102</f>
        <v>1.8106101756291872E-2</v>
      </c>
      <c r="G102" s="40"/>
      <c r="J102" s="9">
        <v>21.42</v>
      </c>
      <c r="K102" s="9">
        <f t="shared" si="6"/>
        <v>29.988</v>
      </c>
      <c r="L102" s="16">
        <f>(C102-K102)/K102</f>
        <v>0.8750833666800053</v>
      </c>
    </row>
    <row r="103" spans="1:12" ht="12.75" customHeight="1">
      <c r="A103" s="1" t="s">
        <v>3588</v>
      </c>
      <c r="B103" s="7">
        <v>58.99</v>
      </c>
      <c r="C103" s="9">
        <v>59.52</v>
      </c>
      <c r="D103" s="16">
        <f>(C103-B103)/B103</f>
        <v>8.9845736565519769E-3</v>
      </c>
      <c r="E103" s="9">
        <v>55.23</v>
      </c>
      <c r="F103" s="16">
        <f>(C103-E103)/E103</f>
        <v>7.7675176534492241E-2</v>
      </c>
      <c r="G103" s="40"/>
      <c r="J103" s="9">
        <v>21.42</v>
      </c>
      <c r="K103" s="9">
        <f t="shared" si="6"/>
        <v>29.988</v>
      </c>
      <c r="L103" s="16">
        <f t="shared" ref="L103:L104" si="11">(C103-K103)/K103</f>
        <v>0.98479391756702694</v>
      </c>
    </row>
    <row r="104" spans="1:12" ht="12.75" customHeight="1">
      <c r="A104" s="1" t="s">
        <v>3589</v>
      </c>
      <c r="B104" s="7">
        <v>62.36</v>
      </c>
      <c r="C104" s="9">
        <v>62.81</v>
      </c>
      <c r="D104" s="16">
        <f>(C104-B104)/B104</f>
        <v>7.2161642078255751E-3</v>
      </c>
      <c r="E104" s="9">
        <v>55.23</v>
      </c>
      <c r="F104" s="16">
        <f>(C104-E104)/E104</f>
        <v>0.13724425131269249</v>
      </c>
      <c r="G104" s="40"/>
      <c r="J104" s="9">
        <v>21.42</v>
      </c>
      <c r="K104" s="9">
        <f t="shared" si="6"/>
        <v>29.988</v>
      </c>
      <c r="L104" s="16">
        <f t="shared" si="11"/>
        <v>1.0945044684540484</v>
      </c>
    </row>
    <row r="105" spans="1:12">
      <c r="A105" s="143"/>
      <c r="B105" s="143"/>
      <c r="D105" s="16"/>
      <c r="E105" s="9"/>
      <c r="G105" s="40"/>
      <c r="J105" s="9"/>
      <c r="K105" s="9">
        <f t="shared" si="6"/>
        <v>0</v>
      </c>
      <c r="L105" s="16"/>
    </row>
    <row r="106" spans="1:12" ht="12.75" customHeight="1">
      <c r="A106" s="144" t="s">
        <v>3785</v>
      </c>
      <c r="B106" s="144"/>
      <c r="C106" s="44"/>
      <c r="D106" s="43"/>
      <c r="E106" s="44"/>
      <c r="F106" s="8"/>
      <c r="G106" s="23" t="s">
        <v>3983</v>
      </c>
      <c r="H106" s="43">
        <f>AVERAGE(F107:F110)</f>
        <v>0.11553911205074005</v>
      </c>
      <c r="I106" s="8"/>
      <c r="J106" s="44"/>
      <c r="K106" s="9">
        <f t="shared" si="6"/>
        <v>0</v>
      </c>
      <c r="L106" s="43"/>
    </row>
    <row r="107" spans="1:12" ht="12.75" customHeight="1">
      <c r="A107" s="1" t="s">
        <v>3786</v>
      </c>
      <c r="B107" s="7">
        <v>49.7</v>
      </c>
      <c r="C107" s="9">
        <v>49.95</v>
      </c>
      <c r="D107" s="16">
        <f>(C107-B107)/B107</f>
        <v>5.0301810865191147E-3</v>
      </c>
      <c r="E107" s="9">
        <v>47.3</v>
      </c>
      <c r="F107" s="16">
        <f>(C107-E107)/E107</f>
        <v>5.6025369978858472E-2</v>
      </c>
      <c r="G107" s="40"/>
      <c r="J107" s="9">
        <v>31.07</v>
      </c>
      <c r="K107" s="9">
        <f t="shared" si="6"/>
        <v>43.497999999999998</v>
      </c>
      <c r="L107" s="16">
        <f>(C107-K107)/K107</f>
        <v>0.14832865878890997</v>
      </c>
    </row>
    <row r="108" spans="1:12" ht="12.75" customHeight="1">
      <c r="A108" s="1" t="s">
        <v>3787</v>
      </c>
      <c r="B108" s="7">
        <v>50.7</v>
      </c>
      <c r="C108" s="9">
        <v>50.95</v>
      </c>
      <c r="D108" s="16">
        <f>(C108-B108)/B108</f>
        <v>4.9309664694280079E-3</v>
      </c>
      <c r="E108" s="9">
        <v>47.3</v>
      </c>
      <c r="F108" s="16">
        <f>(C108-E108)/E108</f>
        <v>7.7167019027484268E-2</v>
      </c>
      <c r="G108" s="40"/>
      <c r="J108" s="9">
        <v>31.07</v>
      </c>
      <c r="K108" s="9">
        <f t="shared" si="6"/>
        <v>43.497999999999998</v>
      </c>
      <c r="L108" s="16">
        <f t="shared" ref="L108:L110" si="12">(C108-K108)/K108</f>
        <v>0.17131822152742668</v>
      </c>
    </row>
    <row r="109" spans="1:12" ht="12.75" customHeight="1">
      <c r="A109" s="1" t="s">
        <v>3788</v>
      </c>
      <c r="B109" s="7">
        <v>53.01</v>
      </c>
      <c r="C109" s="9">
        <v>53.26</v>
      </c>
      <c r="D109" s="16">
        <f>(C109-B109)/B109</f>
        <v>4.7160913035276366E-3</v>
      </c>
      <c r="E109" s="9">
        <v>47.3</v>
      </c>
      <c r="F109" s="16">
        <f>(C109-E109)/E109</f>
        <v>0.12600422832980976</v>
      </c>
      <c r="G109" s="40"/>
      <c r="J109" s="9">
        <v>31.07</v>
      </c>
      <c r="K109" s="9">
        <f t="shared" si="6"/>
        <v>43.497999999999998</v>
      </c>
      <c r="L109" s="16">
        <f t="shared" si="12"/>
        <v>0.22442411145340019</v>
      </c>
    </row>
    <row r="110" spans="1:12" ht="12.75" customHeight="1">
      <c r="A110" s="1" t="s">
        <v>3789</v>
      </c>
      <c r="B110" s="7">
        <v>56.65</v>
      </c>
      <c r="C110" s="9">
        <v>56.9</v>
      </c>
      <c r="D110" s="16">
        <f>(C110-B110)/B110</f>
        <v>4.4130626654898504E-3</v>
      </c>
      <c r="E110" s="9">
        <v>47.3</v>
      </c>
      <c r="F110" s="16">
        <f>(C110-E110)/E110</f>
        <v>0.20295983086680766</v>
      </c>
      <c r="G110" s="40"/>
      <c r="J110" s="9">
        <v>31.07</v>
      </c>
      <c r="K110" s="9">
        <f t="shared" si="6"/>
        <v>43.497999999999998</v>
      </c>
      <c r="L110" s="16">
        <f t="shared" si="12"/>
        <v>0.30810611982160102</v>
      </c>
    </row>
    <row r="111" spans="1:12">
      <c r="A111" s="143"/>
      <c r="B111" s="143"/>
      <c r="D111" s="16"/>
      <c r="E111" s="9"/>
      <c r="G111" s="40"/>
      <c r="J111" s="9"/>
      <c r="K111" s="9">
        <f t="shared" si="6"/>
        <v>0</v>
      </c>
      <c r="L111" s="16"/>
    </row>
    <row r="112" spans="1:12" ht="12.75" customHeight="1">
      <c r="A112" s="144" t="s">
        <v>3592</v>
      </c>
      <c r="B112" s="144"/>
      <c r="C112" s="44"/>
      <c r="D112" s="43"/>
      <c r="E112" s="44"/>
      <c r="F112" s="8"/>
      <c r="G112" s="23" t="s">
        <v>3983</v>
      </c>
      <c r="H112" s="43">
        <f>AVERAGE(F114:F212)</f>
        <v>5.7333215672432124E-2</v>
      </c>
      <c r="I112" s="8"/>
      <c r="J112" s="44"/>
      <c r="K112" s="9">
        <f t="shared" si="6"/>
        <v>0</v>
      </c>
      <c r="L112" s="43"/>
    </row>
    <row r="113" spans="1:12" ht="12.75" customHeight="1">
      <c r="A113" s="3" t="s">
        <v>3569</v>
      </c>
      <c r="B113" s="3" t="s">
        <v>3510</v>
      </c>
      <c r="D113" s="16"/>
      <c r="E113" s="9"/>
      <c r="G113" s="40"/>
      <c r="J113" s="9"/>
      <c r="K113" s="9">
        <f t="shared" si="6"/>
        <v>0</v>
      </c>
      <c r="L113" s="16"/>
    </row>
    <row r="114" spans="1:12" ht="12.75" customHeight="1">
      <c r="A114" s="1" t="s">
        <v>3573</v>
      </c>
      <c r="B114" s="7">
        <v>53.92</v>
      </c>
      <c r="C114" s="9">
        <v>55.67</v>
      </c>
      <c r="D114" s="16">
        <f t="shared" ref="D114:D138" si="13">(C114-B114)/B114</f>
        <v>3.245548961424332E-2</v>
      </c>
      <c r="E114" s="9">
        <v>56.66</v>
      </c>
      <c r="F114" s="16">
        <f t="shared" ref="F114:F138" si="14">(C114-E114)/E114</f>
        <v>-1.7472643840451729E-2</v>
      </c>
      <c r="G114" s="40"/>
      <c r="J114" s="9">
        <v>29.23</v>
      </c>
      <c r="K114" s="9">
        <f t="shared" si="6"/>
        <v>40.921999999999997</v>
      </c>
      <c r="L114" s="16">
        <f>(C114-K114)/K114</f>
        <v>0.3603929426714238</v>
      </c>
    </row>
    <row r="115" spans="1:12" ht="12.75" customHeight="1">
      <c r="A115" s="1" t="s">
        <v>3575</v>
      </c>
      <c r="B115" s="7">
        <v>54.87</v>
      </c>
      <c r="C115" s="9">
        <v>56.62</v>
      </c>
      <c r="D115" s="16">
        <f t="shared" si="13"/>
        <v>3.1893566611991983E-2</v>
      </c>
      <c r="E115" s="9">
        <v>56.66</v>
      </c>
      <c r="F115" s="16">
        <f t="shared" si="14"/>
        <v>-7.0596540769500798E-4</v>
      </c>
      <c r="G115" s="40"/>
      <c r="J115" s="9">
        <v>29.23</v>
      </c>
      <c r="K115" s="9">
        <f t="shared" si="6"/>
        <v>40.921999999999997</v>
      </c>
      <c r="L115" s="16">
        <f t="shared" ref="L115:L178" si="15">(C115-K115)/K115</f>
        <v>0.38360783930404185</v>
      </c>
    </row>
    <row r="116" spans="1:12" ht="12.75" customHeight="1">
      <c r="A116" s="1" t="s">
        <v>3576</v>
      </c>
      <c r="B116" s="7">
        <v>55.16</v>
      </c>
      <c r="C116" s="9">
        <v>56.91</v>
      </c>
      <c r="D116" s="16">
        <f t="shared" si="13"/>
        <v>3.1725888324873101E-2</v>
      </c>
      <c r="E116" s="9">
        <v>56.66</v>
      </c>
      <c r="F116" s="16">
        <f t="shared" si="14"/>
        <v>4.4122837980938934E-3</v>
      </c>
      <c r="G116" s="40"/>
      <c r="J116" s="9">
        <v>29.23</v>
      </c>
      <c r="K116" s="9">
        <f t="shared" si="6"/>
        <v>40.921999999999997</v>
      </c>
      <c r="L116" s="16">
        <f t="shared" si="15"/>
        <v>0.39069449196031475</v>
      </c>
    </row>
    <row r="117" spans="1:12" ht="12.75" customHeight="1">
      <c r="A117" s="1" t="s">
        <v>3577</v>
      </c>
      <c r="B117" s="7">
        <v>56.65</v>
      </c>
      <c r="C117" s="9">
        <v>58.4</v>
      </c>
      <c r="D117" s="16">
        <f t="shared" si="13"/>
        <v>3.089143865842895E-2</v>
      </c>
      <c r="E117" s="9">
        <v>56.66</v>
      </c>
      <c r="F117" s="16">
        <f t="shared" si="14"/>
        <v>3.0709495234733535E-2</v>
      </c>
      <c r="G117" s="40"/>
      <c r="J117" s="9">
        <v>29.23</v>
      </c>
      <c r="K117" s="9">
        <f t="shared" si="6"/>
        <v>40.921999999999997</v>
      </c>
      <c r="L117" s="16">
        <f t="shared" si="15"/>
        <v>0.42710522457357908</v>
      </c>
    </row>
    <row r="118" spans="1:12" ht="12.75" customHeight="1">
      <c r="A118" s="1" t="s">
        <v>3579</v>
      </c>
      <c r="B118" s="7">
        <v>57.75</v>
      </c>
      <c r="C118" s="9">
        <v>59.5</v>
      </c>
      <c r="D118" s="16">
        <f t="shared" si="13"/>
        <v>3.0303030303030304E-2</v>
      </c>
      <c r="E118" s="9">
        <v>56.66</v>
      </c>
      <c r="F118" s="16">
        <f t="shared" si="14"/>
        <v>5.0123543946346695E-2</v>
      </c>
      <c r="G118" s="40"/>
      <c r="J118" s="9">
        <v>29.23</v>
      </c>
      <c r="K118" s="9">
        <f t="shared" si="6"/>
        <v>40.921999999999997</v>
      </c>
      <c r="L118" s="16">
        <f t="shared" si="15"/>
        <v>0.45398563120082119</v>
      </c>
    </row>
    <row r="119" spans="1:12" ht="12.75" customHeight="1">
      <c r="A119" s="1" t="s">
        <v>3580</v>
      </c>
      <c r="B119" s="7">
        <v>56.87</v>
      </c>
      <c r="C119" s="9">
        <v>58.62</v>
      </c>
      <c r="D119" s="16">
        <f t="shared" si="13"/>
        <v>3.0771935994373133E-2</v>
      </c>
      <c r="E119" s="9">
        <v>56.66</v>
      </c>
      <c r="F119" s="16">
        <f t="shared" si="14"/>
        <v>3.4592304977056142E-2</v>
      </c>
      <c r="G119" s="40"/>
      <c r="J119" s="9">
        <v>29.23</v>
      </c>
      <c r="K119" s="9">
        <f t="shared" si="6"/>
        <v>40.921999999999997</v>
      </c>
      <c r="L119" s="16">
        <f t="shared" si="15"/>
        <v>0.43248130589902745</v>
      </c>
    </row>
    <row r="120" spans="1:12" ht="12.75" customHeight="1">
      <c r="A120" s="1" t="s">
        <v>3593</v>
      </c>
      <c r="B120" s="7">
        <v>57.97</v>
      </c>
      <c r="C120" s="9">
        <v>59.72</v>
      </c>
      <c r="D120" s="16">
        <f t="shared" si="13"/>
        <v>3.0188028290495085E-2</v>
      </c>
      <c r="E120" s="9">
        <v>56.66</v>
      </c>
      <c r="F120" s="16">
        <f t="shared" si="14"/>
        <v>5.4006353688669295E-2</v>
      </c>
      <c r="G120" s="40"/>
      <c r="J120" s="9">
        <v>29.23</v>
      </c>
      <c r="K120" s="9">
        <f t="shared" si="6"/>
        <v>40.921999999999997</v>
      </c>
      <c r="L120" s="16">
        <f t="shared" si="15"/>
        <v>0.45936171252626956</v>
      </c>
    </row>
    <row r="121" spans="1:12" ht="12.75" customHeight="1">
      <c r="A121" s="1" t="s">
        <v>3594</v>
      </c>
      <c r="B121" s="7">
        <v>56.98</v>
      </c>
      <c r="C121" s="9">
        <v>58.73</v>
      </c>
      <c r="D121" s="16">
        <f t="shared" si="13"/>
        <v>3.0712530712530713E-2</v>
      </c>
      <c r="E121" s="9">
        <v>56.66</v>
      </c>
      <c r="F121" s="16">
        <f t="shared" si="14"/>
        <v>3.6533709848217445E-2</v>
      </c>
      <c r="G121" s="40"/>
      <c r="J121" s="9">
        <v>29.23</v>
      </c>
      <c r="K121" s="9">
        <f t="shared" si="6"/>
        <v>40.921999999999997</v>
      </c>
      <c r="L121" s="16">
        <f t="shared" si="15"/>
        <v>0.43516934656175166</v>
      </c>
    </row>
    <row r="122" spans="1:12" ht="12.75" customHeight="1">
      <c r="A122" s="1" t="s">
        <v>3595</v>
      </c>
      <c r="B122" s="7">
        <v>58.08</v>
      </c>
      <c r="C122" s="9">
        <v>59.83</v>
      </c>
      <c r="D122" s="16">
        <f t="shared" si="13"/>
        <v>3.0130853994490361E-2</v>
      </c>
      <c r="E122" s="9">
        <v>56.66</v>
      </c>
      <c r="F122" s="16">
        <f t="shared" si="14"/>
        <v>5.5947758559830599E-2</v>
      </c>
      <c r="G122" s="40"/>
      <c r="J122" s="9">
        <v>29.23</v>
      </c>
      <c r="K122" s="9">
        <f t="shared" si="6"/>
        <v>40.921999999999997</v>
      </c>
      <c r="L122" s="16">
        <f t="shared" si="15"/>
        <v>0.46204975318899377</v>
      </c>
    </row>
    <row r="123" spans="1:12" ht="12.75" customHeight="1">
      <c r="A123" s="1" t="s">
        <v>3596</v>
      </c>
      <c r="B123" s="7">
        <v>57.1</v>
      </c>
      <c r="C123" s="9">
        <v>58.85</v>
      </c>
      <c r="D123" s="16">
        <f t="shared" si="13"/>
        <v>3.0647985989492119E-2</v>
      </c>
      <c r="E123" s="9">
        <v>56.66</v>
      </c>
      <c r="F123" s="16">
        <f t="shared" si="14"/>
        <v>3.8651606071302594E-2</v>
      </c>
      <c r="G123" s="40"/>
      <c r="J123" s="9">
        <v>29.23</v>
      </c>
      <c r="K123" s="9">
        <f t="shared" si="6"/>
        <v>40.921999999999997</v>
      </c>
      <c r="L123" s="16">
        <f t="shared" si="15"/>
        <v>0.43810175455745087</v>
      </c>
    </row>
    <row r="124" spans="1:12" ht="12.75" customHeight="1">
      <c r="A124" s="1" t="s">
        <v>3598</v>
      </c>
      <c r="B124" s="7">
        <v>58.2</v>
      </c>
      <c r="C124" s="9">
        <v>59.95</v>
      </c>
      <c r="D124" s="16">
        <f t="shared" si="13"/>
        <v>3.0068728522336767E-2</v>
      </c>
      <c r="E124" s="9">
        <v>56.66</v>
      </c>
      <c r="F124" s="16">
        <f t="shared" si="14"/>
        <v>5.8065654782915754E-2</v>
      </c>
      <c r="G124" s="40"/>
      <c r="J124" s="9">
        <v>29.23</v>
      </c>
      <c r="K124" s="9">
        <f t="shared" si="6"/>
        <v>40.921999999999997</v>
      </c>
      <c r="L124" s="16">
        <f t="shared" si="15"/>
        <v>0.46498216118469299</v>
      </c>
    </row>
    <row r="125" spans="1:12" ht="12.75" customHeight="1">
      <c r="A125" s="1" t="s">
        <v>3790</v>
      </c>
      <c r="B125" s="7">
        <v>57.27</v>
      </c>
      <c r="C125" s="9">
        <v>59.02</v>
      </c>
      <c r="D125" s="16">
        <f t="shared" si="13"/>
        <v>3.0557010651300853E-2</v>
      </c>
      <c r="E125" s="9">
        <v>56.66</v>
      </c>
      <c r="F125" s="16">
        <f t="shared" si="14"/>
        <v>4.1651959054006468E-2</v>
      </c>
      <c r="G125" s="40"/>
      <c r="J125" s="9">
        <v>29.23</v>
      </c>
      <c r="K125" s="9">
        <f t="shared" si="6"/>
        <v>40.921999999999997</v>
      </c>
      <c r="L125" s="16">
        <f t="shared" si="15"/>
        <v>0.44225599921802472</v>
      </c>
    </row>
    <row r="126" spans="1:12" ht="12.75" customHeight="1">
      <c r="A126" s="1" t="s">
        <v>3791</v>
      </c>
      <c r="B126" s="7">
        <v>57.37</v>
      </c>
      <c r="C126" s="9">
        <v>59.12</v>
      </c>
      <c r="D126" s="16">
        <f t="shared" si="13"/>
        <v>3.0503747603276975E-2</v>
      </c>
      <c r="E126" s="9">
        <v>56.66</v>
      </c>
      <c r="F126" s="16">
        <f t="shared" si="14"/>
        <v>4.3416872573243927E-2</v>
      </c>
      <c r="G126" s="40"/>
      <c r="J126" s="9">
        <v>29.23</v>
      </c>
      <c r="K126" s="9">
        <f t="shared" si="6"/>
        <v>40.921999999999997</v>
      </c>
      <c r="L126" s="16">
        <f t="shared" si="15"/>
        <v>0.44469967254777387</v>
      </c>
    </row>
    <row r="127" spans="1:12" ht="12.75" customHeight="1">
      <c r="A127" s="1" t="s">
        <v>3792</v>
      </c>
      <c r="B127" s="7">
        <v>57.4</v>
      </c>
      <c r="C127" s="9">
        <v>59.15</v>
      </c>
      <c r="D127" s="16">
        <f t="shared" si="13"/>
        <v>3.048780487804878E-2</v>
      </c>
      <c r="E127" s="9">
        <v>56.66</v>
      </c>
      <c r="F127" s="16">
        <f t="shared" si="14"/>
        <v>4.3946346629015219E-2</v>
      </c>
      <c r="G127" s="40"/>
      <c r="J127" s="9">
        <v>29.23</v>
      </c>
      <c r="K127" s="9">
        <f t="shared" si="6"/>
        <v>40.921999999999997</v>
      </c>
      <c r="L127" s="16">
        <f t="shared" si="15"/>
        <v>0.44543277454669866</v>
      </c>
    </row>
    <row r="128" spans="1:12" ht="12.75" customHeight="1">
      <c r="A128" s="1" t="s">
        <v>3793</v>
      </c>
      <c r="B128" s="7">
        <v>57.48</v>
      </c>
      <c r="C128" s="9">
        <v>59.23</v>
      </c>
      <c r="D128" s="16">
        <f t="shared" si="13"/>
        <v>3.0445372303409882E-2</v>
      </c>
      <c r="E128" s="9">
        <v>56.66</v>
      </c>
      <c r="F128" s="16">
        <f t="shared" si="14"/>
        <v>4.535827744440523E-2</v>
      </c>
      <c r="G128" s="40"/>
      <c r="J128" s="9">
        <v>29.23</v>
      </c>
      <c r="K128" s="9">
        <f t="shared" si="6"/>
        <v>40.921999999999997</v>
      </c>
      <c r="L128" s="16">
        <f t="shared" si="15"/>
        <v>0.44738771321049803</v>
      </c>
    </row>
    <row r="129" spans="1:12" ht="12.75" customHeight="1">
      <c r="A129" s="1" t="s">
        <v>3794</v>
      </c>
      <c r="B129" s="7">
        <v>57.6</v>
      </c>
      <c r="C129" s="9">
        <v>59.35</v>
      </c>
      <c r="D129" s="16">
        <f t="shared" si="13"/>
        <v>3.0381944444444444E-2</v>
      </c>
      <c r="E129" s="9">
        <v>56.66</v>
      </c>
      <c r="F129" s="16">
        <f t="shared" si="14"/>
        <v>4.7476173667490379E-2</v>
      </c>
      <c r="G129" s="40"/>
      <c r="J129" s="9">
        <v>29.23</v>
      </c>
      <c r="K129" s="9">
        <f t="shared" si="6"/>
        <v>40.921999999999997</v>
      </c>
      <c r="L129" s="16">
        <f t="shared" si="15"/>
        <v>0.4503201212061973</v>
      </c>
    </row>
    <row r="130" spans="1:12" ht="12.75" customHeight="1">
      <c r="A130" s="1" t="s">
        <v>3795</v>
      </c>
      <c r="B130" s="7">
        <v>57.77</v>
      </c>
      <c r="C130" s="9">
        <v>59.52</v>
      </c>
      <c r="D130" s="16">
        <f t="shared" si="13"/>
        <v>3.0292539380301194E-2</v>
      </c>
      <c r="E130" s="9">
        <v>56.66</v>
      </c>
      <c r="F130" s="16">
        <f t="shared" si="14"/>
        <v>5.047652665019426E-2</v>
      </c>
      <c r="G130" s="40"/>
      <c r="J130" s="9">
        <v>29.23</v>
      </c>
      <c r="K130" s="9">
        <f t="shared" si="6"/>
        <v>40.921999999999997</v>
      </c>
      <c r="L130" s="16">
        <f t="shared" si="15"/>
        <v>0.45447436586677109</v>
      </c>
    </row>
    <row r="131" spans="1:12" ht="12.75" customHeight="1">
      <c r="A131" s="1" t="s">
        <v>3796</v>
      </c>
      <c r="B131" s="7">
        <v>57.87</v>
      </c>
      <c r="C131" s="9">
        <v>59.62</v>
      </c>
      <c r="D131" s="16">
        <f t="shared" si="13"/>
        <v>3.0240193537238641E-2</v>
      </c>
      <c r="E131" s="9">
        <v>56.66</v>
      </c>
      <c r="F131" s="16">
        <f t="shared" si="14"/>
        <v>5.2241440169431719E-2</v>
      </c>
      <c r="G131" s="40"/>
      <c r="J131" s="9">
        <v>29.23</v>
      </c>
      <c r="K131" s="9">
        <f t="shared" si="6"/>
        <v>40.921999999999997</v>
      </c>
      <c r="L131" s="16">
        <f t="shared" si="15"/>
        <v>0.45691803919652024</v>
      </c>
    </row>
    <row r="132" spans="1:12" ht="12.75" customHeight="1">
      <c r="A132" s="1" t="s">
        <v>3797</v>
      </c>
      <c r="B132" s="7">
        <v>57.98</v>
      </c>
      <c r="C132" s="9">
        <v>59.73</v>
      </c>
      <c r="D132" s="16">
        <f t="shared" si="13"/>
        <v>3.0182821662642294E-2</v>
      </c>
      <c r="E132" s="9">
        <v>56.66</v>
      </c>
      <c r="F132" s="16">
        <f t="shared" si="14"/>
        <v>5.4182845040593022E-2</v>
      </c>
      <c r="G132" s="40"/>
      <c r="J132" s="9">
        <v>29.23</v>
      </c>
      <c r="K132" s="9">
        <f t="shared" si="6"/>
        <v>40.921999999999997</v>
      </c>
      <c r="L132" s="16">
        <f t="shared" si="15"/>
        <v>0.45960607985924445</v>
      </c>
    </row>
    <row r="133" spans="1:12" ht="12.75" customHeight="1">
      <c r="A133" s="1" t="s">
        <v>3798</v>
      </c>
      <c r="B133" s="7">
        <v>58.1</v>
      </c>
      <c r="C133" s="9">
        <v>59.85</v>
      </c>
      <c r="D133" s="16">
        <f t="shared" si="13"/>
        <v>3.0120481927710843E-2</v>
      </c>
      <c r="E133" s="9">
        <v>56.66</v>
      </c>
      <c r="F133" s="16">
        <f t="shared" si="14"/>
        <v>5.6300741263678171E-2</v>
      </c>
      <c r="G133" s="40"/>
      <c r="J133" s="9">
        <v>29.23</v>
      </c>
      <c r="K133" s="9">
        <f t="shared" si="6"/>
        <v>40.921999999999997</v>
      </c>
      <c r="L133" s="16">
        <f t="shared" si="15"/>
        <v>0.46253848785494367</v>
      </c>
    </row>
    <row r="134" spans="1:12" ht="12.75" customHeight="1">
      <c r="A134" s="1" t="s">
        <v>3799</v>
      </c>
      <c r="B134" s="7">
        <v>58.27</v>
      </c>
      <c r="C134" s="9">
        <v>60.02</v>
      </c>
      <c r="D134" s="16">
        <f t="shared" si="13"/>
        <v>3.0032606830272868E-2</v>
      </c>
      <c r="E134" s="9">
        <v>56.66</v>
      </c>
      <c r="F134" s="16">
        <f t="shared" si="14"/>
        <v>5.9301094246382045E-2</v>
      </c>
      <c r="G134" s="40"/>
      <c r="J134" s="9">
        <v>29.23</v>
      </c>
      <c r="K134" s="9">
        <f t="shared" si="6"/>
        <v>40.921999999999997</v>
      </c>
      <c r="L134" s="16">
        <f t="shared" si="15"/>
        <v>0.46669273251551752</v>
      </c>
    </row>
    <row r="135" spans="1:12" ht="12.75" customHeight="1">
      <c r="A135" s="1" t="s">
        <v>3800</v>
      </c>
      <c r="B135" s="7">
        <v>58.37</v>
      </c>
      <c r="C135" s="9">
        <v>60.12</v>
      </c>
      <c r="D135" s="16">
        <f t="shared" si="13"/>
        <v>2.9981154702758268E-2</v>
      </c>
      <c r="E135" s="9">
        <v>56.66</v>
      </c>
      <c r="F135" s="16">
        <f t="shared" si="14"/>
        <v>6.1066007765619504E-2</v>
      </c>
      <c r="G135" s="40"/>
      <c r="J135" s="9">
        <v>29.23</v>
      </c>
      <c r="K135" s="9">
        <f t="shared" si="6"/>
        <v>40.921999999999997</v>
      </c>
      <c r="L135" s="16">
        <f t="shared" si="15"/>
        <v>0.46913640584526667</v>
      </c>
    </row>
    <row r="136" spans="1:12" ht="12.75" customHeight="1">
      <c r="A136" s="1" t="s">
        <v>3801</v>
      </c>
      <c r="B136" s="7">
        <v>58.48</v>
      </c>
      <c r="C136" s="9">
        <v>60.23</v>
      </c>
      <c r="D136" s="16">
        <f t="shared" si="13"/>
        <v>2.9924760601915186E-2</v>
      </c>
      <c r="E136" s="9">
        <v>56.66</v>
      </c>
      <c r="F136" s="16">
        <f t="shared" si="14"/>
        <v>6.3007412636780807E-2</v>
      </c>
      <c r="G136" s="40"/>
      <c r="J136" s="9">
        <v>29.23</v>
      </c>
      <c r="K136" s="9">
        <f t="shared" si="6"/>
        <v>40.921999999999997</v>
      </c>
      <c r="L136" s="16">
        <f t="shared" si="15"/>
        <v>0.47182444650799082</v>
      </c>
    </row>
    <row r="137" spans="1:12" ht="12.75" customHeight="1">
      <c r="A137" s="1" t="s">
        <v>3802</v>
      </c>
      <c r="B137" s="7">
        <v>58.6</v>
      </c>
      <c r="C137" s="9">
        <v>60.35</v>
      </c>
      <c r="D137" s="16">
        <f t="shared" si="13"/>
        <v>2.9863481228668942E-2</v>
      </c>
      <c r="E137" s="9">
        <v>56.66</v>
      </c>
      <c r="F137" s="16">
        <f t="shared" si="14"/>
        <v>6.5125308859865949E-2</v>
      </c>
      <c r="G137" s="40"/>
      <c r="J137" s="9">
        <v>29.23</v>
      </c>
      <c r="K137" s="9">
        <f t="shared" si="6"/>
        <v>40.921999999999997</v>
      </c>
      <c r="L137" s="16">
        <f t="shared" si="15"/>
        <v>0.4747568545036901</v>
      </c>
    </row>
    <row r="138" spans="1:12" ht="12.75" customHeight="1">
      <c r="A138" s="1" t="s">
        <v>3803</v>
      </c>
      <c r="B138" s="7">
        <v>58.77</v>
      </c>
      <c r="C138" s="9">
        <v>60.52</v>
      </c>
      <c r="D138" s="16">
        <f t="shared" si="13"/>
        <v>2.9777097158414156E-2</v>
      </c>
      <c r="E138" s="9">
        <v>56.66</v>
      </c>
      <c r="F138" s="16">
        <f t="shared" si="14"/>
        <v>6.8125661842569837E-2</v>
      </c>
      <c r="G138" s="40"/>
      <c r="J138" s="9">
        <v>29.23</v>
      </c>
      <c r="K138" s="9">
        <f t="shared" si="6"/>
        <v>40.921999999999997</v>
      </c>
      <c r="L138" s="16">
        <f t="shared" si="15"/>
        <v>0.47891109916426389</v>
      </c>
    </row>
    <row r="139" spans="1:12" ht="12.75" customHeight="1">
      <c r="A139" s="143" t="s">
        <v>3804</v>
      </c>
      <c r="B139" s="143"/>
      <c r="D139" s="16"/>
      <c r="E139" s="9"/>
      <c r="G139" s="40"/>
      <c r="J139" s="9"/>
      <c r="K139" s="9">
        <f t="shared" ref="K139:K202" si="16">J139*1.4</f>
        <v>0</v>
      </c>
      <c r="L139" s="16"/>
    </row>
    <row r="140" spans="1:12" ht="12.75" customHeight="1">
      <c r="A140" s="143" t="s">
        <v>3805</v>
      </c>
      <c r="B140" s="143"/>
      <c r="D140" s="16"/>
      <c r="E140" s="9"/>
      <c r="G140" s="40"/>
      <c r="J140" s="9"/>
      <c r="K140" s="9">
        <f t="shared" si="16"/>
        <v>0</v>
      </c>
      <c r="L140" s="16"/>
    </row>
    <row r="141" spans="1:12">
      <c r="A141" s="143"/>
      <c r="B141" s="143"/>
      <c r="D141" s="16"/>
      <c r="E141" s="9"/>
      <c r="G141" s="40"/>
      <c r="J141" s="9"/>
      <c r="K141" s="9">
        <f t="shared" si="16"/>
        <v>0</v>
      </c>
      <c r="L141" s="16"/>
    </row>
    <row r="142" spans="1:12">
      <c r="A142" s="2" t="s">
        <v>3806</v>
      </c>
      <c r="B142" s="143"/>
      <c r="D142" s="16"/>
      <c r="E142" s="9"/>
      <c r="G142" s="40"/>
      <c r="J142" s="9"/>
      <c r="K142" s="9">
        <f t="shared" si="16"/>
        <v>0</v>
      </c>
      <c r="L142" s="16"/>
    </row>
    <row r="143" spans="1:12" ht="25.5">
      <c r="A143" s="2" t="s">
        <v>3807</v>
      </c>
      <c r="B143" s="143"/>
      <c r="D143" s="16"/>
      <c r="E143" s="9"/>
      <c r="G143" s="40"/>
      <c r="J143" s="9"/>
      <c r="K143" s="9">
        <f t="shared" si="16"/>
        <v>0</v>
      </c>
      <c r="L143" s="16"/>
    </row>
    <row r="144" spans="1:12" ht="12.75" customHeight="1">
      <c r="A144" s="3" t="s">
        <v>3569</v>
      </c>
      <c r="B144" s="3" t="s">
        <v>3510</v>
      </c>
      <c r="C144" s="44"/>
      <c r="D144" s="43"/>
      <c r="E144" s="44"/>
      <c r="F144" s="8"/>
      <c r="G144" s="23"/>
      <c r="H144" s="8"/>
      <c r="I144" s="8"/>
      <c r="J144" s="44"/>
      <c r="K144" s="9">
        <f t="shared" si="16"/>
        <v>0</v>
      </c>
      <c r="L144" s="16"/>
    </row>
    <row r="145" spans="1:12">
      <c r="A145" s="6" t="s">
        <v>3573</v>
      </c>
      <c r="B145" s="1"/>
      <c r="D145" s="16"/>
      <c r="E145" s="9"/>
      <c r="G145" s="40"/>
      <c r="J145" s="9"/>
      <c r="K145" s="9">
        <f t="shared" si="16"/>
        <v>0</v>
      </c>
      <c r="L145" s="16"/>
    </row>
    <row r="146" spans="1:12" ht="12.75" customHeight="1">
      <c r="A146" s="1" t="s">
        <v>3808</v>
      </c>
      <c r="B146" s="7">
        <v>57.6</v>
      </c>
      <c r="C146" s="9">
        <v>59.35</v>
      </c>
      <c r="D146" s="16">
        <f>(C146-B146)/B146</f>
        <v>3.0381944444444444E-2</v>
      </c>
      <c r="E146" s="9">
        <v>56.66</v>
      </c>
      <c r="F146" s="16">
        <f t="shared" ref="F146:F209" si="17">(C146-E146)/E146</f>
        <v>4.7476173667490379E-2</v>
      </c>
      <c r="G146" s="40"/>
      <c r="J146" s="9">
        <v>29.23</v>
      </c>
      <c r="K146" s="9">
        <f t="shared" si="16"/>
        <v>40.921999999999997</v>
      </c>
      <c r="L146" s="16">
        <f t="shared" si="15"/>
        <v>0.4503201212061973</v>
      </c>
    </row>
    <row r="147" spans="1:12" ht="12.75" customHeight="1">
      <c r="A147" s="1" t="s">
        <v>3809</v>
      </c>
      <c r="B147" s="7">
        <v>56.51</v>
      </c>
      <c r="C147" s="9">
        <v>58.26</v>
      </c>
      <c r="D147" s="16">
        <f>(C147-B147)/B147</f>
        <v>3.0967970270748543E-2</v>
      </c>
      <c r="E147" s="9">
        <v>56.66</v>
      </c>
      <c r="F147" s="16">
        <f t="shared" si="17"/>
        <v>2.8238616307800946E-2</v>
      </c>
      <c r="G147" s="40"/>
      <c r="J147" s="9">
        <v>29.23</v>
      </c>
      <c r="K147" s="9">
        <f t="shared" si="16"/>
        <v>40.921999999999997</v>
      </c>
      <c r="L147" s="16">
        <f t="shared" si="15"/>
        <v>0.42368408191193008</v>
      </c>
    </row>
    <row r="148" spans="1:12">
      <c r="A148" s="6" t="s">
        <v>3575</v>
      </c>
      <c r="B148" s="7"/>
      <c r="D148" s="16"/>
      <c r="E148" s="9"/>
      <c r="G148" s="40"/>
      <c r="J148" s="9"/>
      <c r="K148" s="9">
        <f t="shared" si="16"/>
        <v>0</v>
      </c>
      <c r="L148" s="16"/>
    </row>
    <row r="149" spans="1:12" ht="12.75" customHeight="1">
      <c r="A149" s="1" t="s">
        <v>3810</v>
      </c>
      <c r="B149" s="7">
        <v>57.6</v>
      </c>
      <c r="C149" s="9">
        <v>59.35</v>
      </c>
      <c r="D149" s="16">
        <f>(C149-B149)/B149</f>
        <v>3.0381944444444444E-2</v>
      </c>
      <c r="E149" s="9">
        <v>56.66</v>
      </c>
      <c r="F149" s="16">
        <f t="shared" si="17"/>
        <v>4.7476173667490379E-2</v>
      </c>
      <c r="G149" s="40"/>
      <c r="J149" s="9">
        <v>29.23</v>
      </c>
      <c r="K149" s="9">
        <f t="shared" si="16"/>
        <v>40.921999999999997</v>
      </c>
      <c r="L149" s="16">
        <f t="shared" si="15"/>
        <v>0.4503201212061973</v>
      </c>
    </row>
    <row r="150" spans="1:12">
      <c r="A150" s="6" t="s">
        <v>3576</v>
      </c>
      <c r="B150" s="7"/>
      <c r="D150" s="16"/>
      <c r="E150" s="9"/>
      <c r="G150" s="40"/>
      <c r="K150" s="9">
        <f t="shared" si="16"/>
        <v>0</v>
      </c>
      <c r="L150" s="16"/>
    </row>
    <row r="151" spans="1:12" ht="12.75" customHeight="1">
      <c r="A151" s="1" t="s">
        <v>3811</v>
      </c>
      <c r="B151" s="7">
        <v>56.51</v>
      </c>
      <c r="C151" s="9">
        <v>58.26</v>
      </c>
      <c r="D151" s="16">
        <f>(C151-B151)/B151</f>
        <v>3.0967970270748543E-2</v>
      </c>
      <c r="E151" s="9">
        <v>56.66</v>
      </c>
      <c r="F151" s="16">
        <f t="shared" si="17"/>
        <v>2.8238616307800946E-2</v>
      </c>
      <c r="G151" s="40"/>
      <c r="J151" s="9">
        <v>29.23</v>
      </c>
      <c r="K151" s="9">
        <f t="shared" si="16"/>
        <v>40.921999999999997</v>
      </c>
      <c r="L151" s="16">
        <f t="shared" si="15"/>
        <v>0.42368408191193008</v>
      </c>
    </row>
    <row r="152" spans="1:12" ht="12.75" customHeight="1">
      <c r="A152" s="1" t="s">
        <v>3812</v>
      </c>
      <c r="B152" s="7">
        <v>56.51</v>
      </c>
      <c r="C152" s="9">
        <v>58.26</v>
      </c>
      <c r="D152" s="16">
        <f>(C152-B152)/B152</f>
        <v>3.0967970270748543E-2</v>
      </c>
      <c r="E152" s="9">
        <v>56.66</v>
      </c>
      <c r="F152" s="16">
        <f t="shared" si="17"/>
        <v>2.8238616307800946E-2</v>
      </c>
      <c r="G152" s="40"/>
      <c r="J152" s="9">
        <v>29.23</v>
      </c>
      <c r="K152" s="9">
        <f t="shared" si="16"/>
        <v>40.921999999999997</v>
      </c>
      <c r="L152" s="16">
        <f t="shared" si="15"/>
        <v>0.42368408191193008</v>
      </c>
    </row>
    <row r="153" spans="1:12">
      <c r="A153" s="6" t="s">
        <v>3577</v>
      </c>
      <c r="B153" s="7"/>
      <c r="D153" s="16"/>
      <c r="E153" s="9"/>
      <c r="G153" s="40"/>
      <c r="J153" s="9"/>
      <c r="K153" s="9">
        <f t="shared" si="16"/>
        <v>0</v>
      </c>
      <c r="L153" s="16"/>
    </row>
    <row r="154" spans="1:12" ht="12.75" customHeight="1">
      <c r="A154" s="1" t="s">
        <v>3813</v>
      </c>
      <c r="B154" s="7">
        <v>56.65</v>
      </c>
      <c r="C154" s="9">
        <v>58.4</v>
      </c>
      <c r="D154" s="16">
        <f>(C154-B154)/B154</f>
        <v>3.089143865842895E-2</v>
      </c>
      <c r="E154" s="9">
        <v>56.66</v>
      </c>
      <c r="F154" s="16">
        <f t="shared" si="17"/>
        <v>3.0709495234733535E-2</v>
      </c>
      <c r="G154" s="40"/>
      <c r="J154" s="9">
        <v>29.23</v>
      </c>
      <c r="K154" s="9">
        <f t="shared" si="16"/>
        <v>40.921999999999997</v>
      </c>
      <c r="L154" s="16">
        <f t="shared" si="15"/>
        <v>0.42710522457357908</v>
      </c>
    </row>
    <row r="155" spans="1:12" ht="12.75" customHeight="1">
      <c r="A155" s="1" t="s">
        <v>3814</v>
      </c>
      <c r="B155" s="7">
        <v>56.65</v>
      </c>
      <c r="C155" s="9">
        <v>58.4</v>
      </c>
      <c r="D155" s="16">
        <f>(C155-B155)/B155</f>
        <v>3.089143865842895E-2</v>
      </c>
      <c r="E155" s="9">
        <v>56.66</v>
      </c>
      <c r="F155" s="16">
        <f t="shared" si="17"/>
        <v>3.0709495234733535E-2</v>
      </c>
      <c r="G155" s="40"/>
      <c r="J155" s="9">
        <v>29.23</v>
      </c>
      <c r="K155" s="9">
        <f t="shared" si="16"/>
        <v>40.921999999999997</v>
      </c>
      <c r="L155" s="16">
        <f t="shared" si="15"/>
        <v>0.42710522457357908</v>
      </c>
    </row>
    <row r="156" spans="1:12">
      <c r="A156" s="6" t="s">
        <v>3579</v>
      </c>
      <c r="B156" s="7"/>
      <c r="D156" s="16"/>
      <c r="E156" s="9"/>
      <c r="G156" s="40"/>
      <c r="J156" s="9"/>
      <c r="K156" s="9">
        <f t="shared" si="16"/>
        <v>0</v>
      </c>
      <c r="L156" s="16"/>
    </row>
    <row r="157" spans="1:12" ht="12.75" customHeight="1">
      <c r="A157" s="1" t="s">
        <v>3815</v>
      </c>
      <c r="B157" s="7">
        <v>56.87</v>
      </c>
      <c r="C157" s="9">
        <v>58.62</v>
      </c>
      <c r="D157" s="16">
        <f>(C157-B157)/B157</f>
        <v>3.0771935994373133E-2</v>
      </c>
      <c r="E157" s="9">
        <v>56.66</v>
      </c>
      <c r="F157" s="16">
        <f t="shared" si="17"/>
        <v>3.4592304977056142E-2</v>
      </c>
      <c r="G157" s="40"/>
      <c r="J157" s="9">
        <v>29.23</v>
      </c>
      <c r="K157" s="9">
        <f t="shared" si="16"/>
        <v>40.921999999999997</v>
      </c>
      <c r="L157" s="16">
        <f t="shared" si="15"/>
        <v>0.43248130589902745</v>
      </c>
    </row>
    <row r="158" spans="1:12" ht="12.75" customHeight="1">
      <c r="A158" s="1" t="s">
        <v>3816</v>
      </c>
      <c r="B158" s="7">
        <v>56.87</v>
      </c>
      <c r="C158" s="9">
        <v>58.62</v>
      </c>
      <c r="D158" s="16">
        <f>(C158-B158)/B158</f>
        <v>3.0771935994373133E-2</v>
      </c>
      <c r="E158" s="9">
        <v>56.66</v>
      </c>
      <c r="F158" s="16">
        <f t="shared" si="17"/>
        <v>3.4592304977056142E-2</v>
      </c>
      <c r="G158" s="40"/>
      <c r="J158" s="9">
        <v>29.23</v>
      </c>
      <c r="K158" s="9">
        <f t="shared" si="16"/>
        <v>40.921999999999997</v>
      </c>
      <c r="L158" s="16">
        <f t="shared" si="15"/>
        <v>0.43248130589902745</v>
      </c>
    </row>
    <row r="159" spans="1:12" ht="12.75" customHeight="1">
      <c r="A159" s="1" t="s">
        <v>3817</v>
      </c>
      <c r="B159" s="7">
        <v>56.87</v>
      </c>
      <c r="C159" s="9">
        <v>58.62</v>
      </c>
      <c r="D159" s="16">
        <f>(C159-B159)/B159</f>
        <v>3.0771935994373133E-2</v>
      </c>
      <c r="E159" s="9">
        <v>56.66</v>
      </c>
      <c r="F159" s="16">
        <f t="shared" si="17"/>
        <v>3.4592304977056142E-2</v>
      </c>
      <c r="G159" s="40"/>
      <c r="J159" s="9">
        <v>29.23</v>
      </c>
      <c r="K159" s="9">
        <f t="shared" si="16"/>
        <v>40.921999999999997</v>
      </c>
      <c r="L159" s="16">
        <f t="shared" si="15"/>
        <v>0.43248130589902745</v>
      </c>
    </row>
    <row r="160" spans="1:12">
      <c r="A160" s="6" t="s">
        <v>3580</v>
      </c>
      <c r="B160" s="7"/>
      <c r="D160" s="16"/>
      <c r="E160" s="9"/>
      <c r="G160" s="40"/>
      <c r="J160" s="9"/>
      <c r="K160" s="9">
        <f t="shared" si="16"/>
        <v>0</v>
      </c>
      <c r="L160" s="16"/>
    </row>
    <row r="161" spans="1:12" ht="12.75" customHeight="1">
      <c r="A161" s="1" t="s">
        <v>3818</v>
      </c>
      <c r="B161" s="7">
        <v>56.98</v>
      </c>
      <c r="C161" s="9">
        <v>58.73</v>
      </c>
      <c r="D161" s="16">
        <f t="shared" ref="D161:D171" si="18">(C161-B161)/B161</f>
        <v>3.0712530712530713E-2</v>
      </c>
      <c r="E161" s="9">
        <v>56.66</v>
      </c>
      <c r="F161" s="16">
        <f t="shared" si="17"/>
        <v>3.6533709848217445E-2</v>
      </c>
      <c r="G161" s="40"/>
      <c r="J161" s="9">
        <v>29.23</v>
      </c>
      <c r="K161" s="9">
        <f t="shared" si="16"/>
        <v>40.921999999999997</v>
      </c>
      <c r="L161" s="16">
        <f t="shared" si="15"/>
        <v>0.43516934656175166</v>
      </c>
    </row>
    <row r="162" spans="1:12" ht="12.75" customHeight="1">
      <c r="A162" s="1" t="s">
        <v>3819</v>
      </c>
      <c r="B162" s="7">
        <v>56.98</v>
      </c>
      <c r="C162" s="9">
        <v>58.73</v>
      </c>
      <c r="D162" s="16">
        <f t="shared" si="18"/>
        <v>3.0712530712530713E-2</v>
      </c>
      <c r="E162" s="9">
        <v>56.66</v>
      </c>
      <c r="F162" s="16">
        <f t="shared" si="17"/>
        <v>3.6533709848217445E-2</v>
      </c>
      <c r="G162" s="40"/>
      <c r="J162" s="9">
        <v>29.23</v>
      </c>
      <c r="K162" s="9">
        <f t="shared" si="16"/>
        <v>40.921999999999997</v>
      </c>
      <c r="L162" s="16">
        <f t="shared" si="15"/>
        <v>0.43516934656175166</v>
      </c>
    </row>
    <row r="163" spans="1:12" ht="12.75" customHeight="1">
      <c r="A163" s="1" t="s">
        <v>3820</v>
      </c>
      <c r="B163" s="7">
        <v>56.98</v>
      </c>
      <c r="C163" s="9">
        <v>58.73</v>
      </c>
      <c r="D163" s="16">
        <f t="shared" si="18"/>
        <v>3.0712530712530713E-2</v>
      </c>
      <c r="E163" s="9">
        <v>56.66</v>
      </c>
      <c r="F163" s="16">
        <f t="shared" si="17"/>
        <v>3.6533709848217445E-2</v>
      </c>
      <c r="G163" s="40"/>
      <c r="J163" s="9">
        <v>29.23</v>
      </c>
      <c r="K163" s="9">
        <f t="shared" si="16"/>
        <v>40.921999999999997</v>
      </c>
      <c r="L163" s="16">
        <f t="shared" si="15"/>
        <v>0.43516934656175166</v>
      </c>
    </row>
    <row r="164" spans="1:12" ht="12.75" customHeight="1">
      <c r="A164" s="1" t="s">
        <v>3821</v>
      </c>
      <c r="B164" s="7">
        <v>56.98</v>
      </c>
      <c r="C164" s="9">
        <v>58.73</v>
      </c>
      <c r="D164" s="16">
        <f t="shared" si="18"/>
        <v>3.0712530712530713E-2</v>
      </c>
      <c r="E164" s="9">
        <v>56.66</v>
      </c>
      <c r="F164" s="16">
        <f t="shared" si="17"/>
        <v>3.6533709848217445E-2</v>
      </c>
      <c r="G164" s="40"/>
      <c r="J164" s="9">
        <v>29.23</v>
      </c>
      <c r="K164" s="9">
        <f t="shared" si="16"/>
        <v>40.921999999999997</v>
      </c>
      <c r="L164" s="16">
        <f t="shared" si="15"/>
        <v>0.43516934656175166</v>
      </c>
    </row>
    <row r="165" spans="1:12" ht="25.5">
      <c r="A165" s="1" t="s">
        <v>3822</v>
      </c>
      <c r="B165" s="7">
        <v>56.98</v>
      </c>
      <c r="C165" s="9">
        <v>58.73</v>
      </c>
      <c r="D165" s="16">
        <f t="shared" si="18"/>
        <v>3.0712530712530713E-2</v>
      </c>
      <c r="E165" s="9">
        <v>56.66</v>
      </c>
      <c r="F165" s="16">
        <f t="shared" si="17"/>
        <v>3.6533709848217445E-2</v>
      </c>
      <c r="G165" s="40"/>
      <c r="J165" s="9">
        <v>29.23</v>
      </c>
      <c r="K165" s="9">
        <f t="shared" si="16"/>
        <v>40.921999999999997</v>
      </c>
      <c r="L165" s="16">
        <f t="shared" si="15"/>
        <v>0.43516934656175166</v>
      </c>
    </row>
    <row r="166" spans="1:12" ht="12.75" customHeight="1">
      <c r="A166" s="1" t="s">
        <v>3823</v>
      </c>
      <c r="B166" s="7">
        <v>56.98</v>
      </c>
      <c r="C166" s="9">
        <v>58.73</v>
      </c>
      <c r="D166" s="16">
        <f t="shared" si="18"/>
        <v>3.0712530712530713E-2</v>
      </c>
      <c r="E166" s="9">
        <v>56.66</v>
      </c>
      <c r="F166" s="16">
        <f t="shared" si="17"/>
        <v>3.6533709848217445E-2</v>
      </c>
      <c r="G166" s="40"/>
      <c r="J166" s="9">
        <v>29.23</v>
      </c>
      <c r="K166" s="9">
        <f t="shared" si="16"/>
        <v>40.921999999999997</v>
      </c>
      <c r="L166" s="16">
        <f t="shared" si="15"/>
        <v>0.43516934656175166</v>
      </c>
    </row>
    <row r="167" spans="1:12" ht="12.75" customHeight="1">
      <c r="A167" s="1" t="s">
        <v>3824</v>
      </c>
      <c r="B167" s="7">
        <v>56.98</v>
      </c>
      <c r="C167" s="9">
        <v>58.73</v>
      </c>
      <c r="D167" s="16">
        <f t="shared" si="18"/>
        <v>3.0712530712530713E-2</v>
      </c>
      <c r="E167" s="9">
        <v>56.66</v>
      </c>
      <c r="F167" s="16">
        <f t="shared" si="17"/>
        <v>3.6533709848217445E-2</v>
      </c>
      <c r="G167" s="40"/>
      <c r="J167" s="9">
        <v>29.23</v>
      </c>
      <c r="K167" s="9">
        <f t="shared" si="16"/>
        <v>40.921999999999997</v>
      </c>
      <c r="L167" s="16">
        <f t="shared" si="15"/>
        <v>0.43516934656175166</v>
      </c>
    </row>
    <row r="168" spans="1:12" ht="12.75" customHeight="1">
      <c r="A168" s="1" t="s">
        <v>3825</v>
      </c>
      <c r="B168" s="7">
        <v>56.98</v>
      </c>
      <c r="C168" s="9">
        <v>58.73</v>
      </c>
      <c r="D168" s="16">
        <f t="shared" si="18"/>
        <v>3.0712530712530713E-2</v>
      </c>
      <c r="E168" s="9">
        <v>56.66</v>
      </c>
      <c r="F168" s="16">
        <f t="shared" si="17"/>
        <v>3.6533709848217445E-2</v>
      </c>
      <c r="G168" s="40"/>
      <c r="J168" s="9">
        <v>29.23</v>
      </c>
      <c r="K168" s="9">
        <f t="shared" si="16"/>
        <v>40.921999999999997</v>
      </c>
      <c r="L168" s="16">
        <f t="shared" si="15"/>
        <v>0.43516934656175166</v>
      </c>
    </row>
    <row r="169" spans="1:12" ht="38.25">
      <c r="A169" s="1" t="s">
        <v>3826</v>
      </c>
      <c r="B169" s="7">
        <v>56.98</v>
      </c>
      <c r="C169" s="9">
        <v>58.73</v>
      </c>
      <c r="D169" s="16">
        <f t="shared" si="18"/>
        <v>3.0712530712530713E-2</v>
      </c>
      <c r="E169" s="9">
        <v>56.66</v>
      </c>
      <c r="F169" s="16">
        <f t="shared" si="17"/>
        <v>3.6533709848217445E-2</v>
      </c>
      <c r="G169" s="40"/>
      <c r="J169" s="9">
        <v>29.23</v>
      </c>
      <c r="K169" s="9">
        <f t="shared" si="16"/>
        <v>40.921999999999997</v>
      </c>
      <c r="L169" s="16">
        <f t="shared" si="15"/>
        <v>0.43516934656175166</v>
      </c>
    </row>
    <row r="170" spans="1:12" ht="12.75" customHeight="1">
      <c r="A170" s="1" t="s">
        <v>3827</v>
      </c>
      <c r="B170" s="7">
        <v>56.98</v>
      </c>
      <c r="C170" s="9">
        <v>58.73</v>
      </c>
      <c r="D170" s="16">
        <f t="shared" si="18"/>
        <v>3.0712530712530713E-2</v>
      </c>
      <c r="E170" s="9">
        <v>56.66</v>
      </c>
      <c r="F170" s="16">
        <f t="shared" si="17"/>
        <v>3.6533709848217445E-2</v>
      </c>
      <c r="G170" s="40"/>
      <c r="J170" s="9">
        <v>29.23</v>
      </c>
      <c r="K170" s="9">
        <f t="shared" si="16"/>
        <v>40.921999999999997</v>
      </c>
      <c r="L170" s="16">
        <f t="shared" si="15"/>
        <v>0.43516934656175166</v>
      </c>
    </row>
    <row r="171" spans="1:12" ht="12.75" customHeight="1">
      <c r="A171" s="1" t="s">
        <v>3828</v>
      </c>
      <c r="B171" s="7">
        <v>56.98</v>
      </c>
      <c r="C171" s="9">
        <v>58.73</v>
      </c>
      <c r="D171" s="16">
        <f t="shared" si="18"/>
        <v>3.0712530712530713E-2</v>
      </c>
      <c r="E171" s="9">
        <v>56.66</v>
      </c>
      <c r="F171" s="16">
        <f t="shared" si="17"/>
        <v>3.6533709848217445E-2</v>
      </c>
      <c r="G171" s="40"/>
      <c r="J171" s="9">
        <v>29.23</v>
      </c>
      <c r="K171" s="9">
        <f t="shared" si="16"/>
        <v>40.921999999999997</v>
      </c>
      <c r="L171" s="16">
        <f t="shared" si="15"/>
        <v>0.43516934656175166</v>
      </c>
    </row>
    <row r="172" spans="1:12">
      <c r="A172" s="6" t="s">
        <v>3593</v>
      </c>
      <c r="B172" s="7"/>
      <c r="D172" s="16"/>
      <c r="E172" s="9"/>
      <c r="G172" s="40"/>
      <c r="J172" s="9"/>
      <c r="K172" s="9">
        <f t="shared" si="16"/>
        <v>0</v>
      </c>
      <c r="L172" s="16"/>
    </row>
    <row r="173" spans="1:12" ht="12.75" customHeight="1">
      <c r="A173" s="1" t="s">
        <v>3829</v>
      </c>
      <c r="B173" s="7">
        <v>57.1</v>
      </c>
      <c r="C173" s="9">
        <v>58.85</v>
      </c>
      <c r="D173" s="16">
        <f>(C173-B173)/B173</f>
        <v>3.0647985989492119E-2</v>
      </c>
      <c r="E173" s="9">
        <v>56.66</v>
      </c>
      <c r="F173" s="16">
        <f t="shared" si="17"/>
        <v>3.8651606071302594E-2</v>
      </c>
      <c r="G173" s="40"/>
      <c r="J173" s="9">
        <v>29.23</v>
      </c>
      <c r="K173" s="9">
        <f t="shared" si="16"/>
        <v>40.921999999999997</v>
      </c>
      <c r="L173" s="16">
        <f t="shared" si="15"/>
        <v>0.43810175455745087</v>
      </c>
    </row>
    <row r="174" spans="1:12" ht="25.5">
      <c r="A174" s="1" t="s">
        <v>3830</v>
      </c>
      <c r="B174" s="7">
        <v>57.1</v>
      </c>
      <c r="C174" s="9">
        <v>58.85</v>
      </c>
      <c r="D174" s="16">
        <f>(C174-B174)/B174</f>
        <v>3.0647985989492119E-2</v>
      </c>
      <c r="E174" s="9">
        <v>56.66</v>
      </c>
      <c r="F174" s="16">
        <f t="shared" si="17"/>
        <v>3.8651606071302594E-2</v>
      </c>
      <c r="G174" s="40"/>
      <c r="J174" s="9">
        <v>29.23</v>
      </c>
      <c r="K174" s="9">
        <f t="shared" si="16"/>
        <v>40.921999999999997</v>
      </c>
      <c r="L174" s="16">
        <f t="shared" si="15"/>
        <v>0.43810175455745087</v>
      </c>
    </row>
    <row r="175" spans="1:12" ht="12.75" customHeight="1">
      <c r="A175" s="1" t="s">
        <v>3831</v>
      </c>
      <c r="B175" s="7">
        <v>57.1</v>
      </c>
      <c r="C175" s="9">
        <v>58.85</v>
      </c>
      <c r="D175" s="16">
        <f>(C175-B175)/B175</f>
        <v>3.0647985989492119E-2</v>
      </c>
      <c r="E175" s="9">
        <v>56.66</v>
      </c>
      <c r="F175" s="16">
        <f t="shared" si="17"/>
        <v>3.8651606071302594E-2</v>
      </c>
      <c r="G175" s="40"/>
      <c r="J175" s="9">
        <v>29.23</v>
      </c>
      <c r="K175" s="9">
        <f t="shared" si="16"/>
        <v>40.921999999999997</v>
      </c>
      <c r="L175" s="16">
        <f t="shared" si="15"/>
        <v>0.43810175455745087</v>
      </c>
    </row>
    <row r="176" spans="1:12" ht="12.75" customHeight="1">
      <c r="A176" s="1" t="s">
        <v>3832</v>
      </c>
      <c r="B176" s="7">
        <v>57.1</v>
      </c>
      <c r="C176" s="9">
        <v>58.85</v>
      </c>
      <c r="D176" s="16">
        <f>(C176-B176)/B176</f>
        <v>3.0647985989492119E-2</v>
      </c>
      <c r="E176" s="9">
        <v>56.66</v>
      </c>
      <c r="F176" s="16">
        <f t="shared" si="17"/>
        <v>3.8651606071302594E-2</v>
      </c>
      <c r="G176" s="40"/>
      <c r="J176" s="9">
        <v>29.23</v>
      </c>
      <c r="K176" s="9">
        <f t="shared" si="16"/>
        <v>40.921999999999997</v>
      </c>
      <c r="L176" s="16">
        <f t="shared" si="15"/>
        <v>0.43810175455745087</v>
      </c>
    </row>
    <row r="177" spans="1:12">
      <c r="A177" s="6" t="s">
        <v>3594</v>
      </c>
      <c r="B177" s="7"/>
      <c r="D177" s="16"/>
      <c r="E177" s="9"/>
      <c r="G177" s="40"/>
      <c r="J177" s="9"/>
      <c r="K177" s="9">
        <f t="shared" si="16"/>
        <v>0</v>
      </c>
      <c r="L177" s="16"/>
    </row>
    <row r="178" spans="1:12" ht="25.5">
      <c r="A178" s="1" t="s">
        <v>3833</v>
      </c>
      <c r="B178" s="7">
        <v>59.07</v>
      </c>
      <c r="C178" s="9">
        <v>60.82</v>
      </c>
      <c r="D178" s="16">
        <f>(C178-B178)/B178</f>
        <v>2.9625867614694431E-2</v>
      </c>
      <c r="E178" s="9">
        <v>56.66</v>
      </c>
      <c r="F178" s="16">
        <f t="shared" si="17"/>
        <v>7.3420402400282456E-2</v>
      </c>
      <c r="G178" s="40"/>
      <c r="J178" s="9">
        <v>29.23</v>
      </c>
      <c r="K178" s="9">
        <f t="shared" si="16"/>
        <v>40.921999999999997</v>
      </c>
      <c r="L178" s="16">
        <f t="shared" si="15"/>
        <v>0.48624211915351168</v>
      </c>
    </row>
    <row r="179" spans="1:12" ht="12.75" customHeight="1">
      <c r="A179" s="1" t="s">
        <v>3834</v>
      </c>
      <c r="B179" s="7">
        <v>57.27</v>
      </c>
      <c r="C179" s="9">
        <v>59.02</v>
      </c>
      <c r="D179" s="16">
        <f>(C179-B179)/B179</f>
        <v>3.0557010651300853E-2</v>
      </c>
      <c r="E179" s="9">
        <v>56.66</v>
      </c>
      <c r="F179" s="16">
        <f t="shared" si="17"/>
        <v>4.1651959054006468E-2</v>
      </c>
      <c r="G179" s="40"/>
      <c r="J179" s="9">
        <v>29.23</v>
      </c>
      <c r="K179" s="9">
        <f t="shared" si="16"/>
        <v>40.921999999999997</v>
      </c>
      <c r="L179" s="16">
        <f t="shared" ref="L179:L212" si="19">(C179-K179)/K179</f>
        <v>0.44225599921802472</v>
      </c>
    </row>
    <row r="180" spans="1:12" ht="25.5">
      <c r="A180" s="1" t="s">
        <v>3835</v>
      </c>
      <c r="B180" s="7">
        <v>57.27</v>
      </c>
      <c r="C180" s="9">
        <v>59.02</v>
      </c>
      <c r="D180" s="16">
        <f>(C180-B180)/B180</f>
        <v>3.0557010651300853E-2</v>
      </c>
      <c r="E180" s="9">
        <v>56.66</v>
      </c>
      <c r="F180" s="16">
        <f t="shared" si="17"/>
        <v>4.1651959054006468E-2</v>
      </c>
      <c r="G180" s="40"/>
      <c r="J180" s="9">
        <v>29.23</v>
      </c>
      <c r="K180" s="9">
        <f t="shared" si="16"/>
        <v>40.921999999999997</v>
      </c>
      <c r="L180" s="16">
        <f t="shared" si="19"/>
        <v>0.44225599921802472</v>
      </c>
    </row>
    <row r="181" spans="1:12" ht="38.25">
      <c r="A181" s="1" t="s">
        <v>3836</v>
      </c>
      <c r="B181" s="7">
        <v>57.27</v>
      </c>
      <c r="C181" s="9">
        <v>59.02</v>
      </c>
      <c r="D181" s="16">
        <f>(C181-B181)/B181</f>
        <v>3.0557010651300853E-2</v>
      </c>
      <c r="E181" s="9">
        <v>56.66</v>
      </c>
      <c r="F181" s="16">
        <f t="shared" si="17"/>
        <v>4.1651959054006468E-2</v>
      </c>
      <c r="G181" s="40"/>
      <c r="J181" s="9">
        <v>29.23</v>
      </c>
      <c r="K181" s="9">
        <f t="shared" si="16"/>
        <v>40.921999999999997</v>
      </c>
      <c r="L181" s="16">
        <f t="shared" si="19"/>
        <v>0.44225599921802472</v>
      </c>
    </row>
    <row r="182" spans="1:12" ht="25.5">
      <c r="A182" s="1" t="s">
        <v>3837</v>
      </c>
      <c r="B182" s="7">
        <v>57.27</v>
      </c>
      <c r="C182" s="9">
        <v>59.02</v>
      </c>
      <c r="D182" s="16">
        <f>(C182-B182)/B182</f>
        <v>3.0557010651300853E-2</v>
      </c>
      <c r="E182" s="9">
        <v>56.66</v>
      </c>
      <c r="F182" s="16">
        <f t="shared" si="17"/>
        <v>4.1651959054006468E-2</v>
      </c>
      <c r="G182" s="40"/>
      <c r="J182" s="9">
        <v>29.23</v>
      </c>
      <c r="K182" s="9">
        <f t="shared" si="16"/>
        <v>40.921999999999997</v>
      </c>
      <c r="L182" s="16">
        <f t="shared" si="19"/>
        <v>0.44225599921802472</v>
      </c>
    </row>
    <row r="183" spans="1:12">
      <c r="A183" s="6" t="s">
        <v>3595</v>
      </c>
      <c r="B183" s="7"/>
      <c r="D183" s="16"/>
      <c r="E183" s="9"/>
      <c r="F183" s="16"/>
      <c r="G183" s="40"/>
      <c r="J183" s="9"/>
      <c r="K183" s="9">
        <f t="shared" si="16"/>
        <v>0</v>
      </c>
      <c r="L183" s="16"/>
    </row>
    <row r="184" spans="1:12" ht="25.5">
      <c r="A184" s="1" t="s">
        <v>3838</v>
      </c>
      <c r="B184" s="7">
        <v>59.07</v>
      </c>
      <c r="C184" s="9">
        <v>60.82</v>
      </c>
      <c r="D184" s="16">
        <f t="shared" ref="D184:D190" si="20">(C184-B184)/B184</f>
        <v>2.9625867614694431E-2</v>
      </c>
      <c r="E184" s="9">
        <v>56.66</v>
      </c>
      <c r="F184" s="16">
        <f t="shared" si="17"/>
        <v>7.3420402400282456E-2</v>
      </c>
      <c r="G184" s="40"/>
      <c r="J184" s="9">
        <v>29.23</v>
      </c>
      <c r="K184" s="9">
        <f t="shared" si="16"/>
        <v>40.921999999999997</v>
      </c>
      <c r="L184" s="16">
        <f t="shared" si="19"/>
        <v>0.48624211915351168</v>
      </c>
    </row>
    <row r="185" spans="1:12" ht="25.5">
      <c r="A185" s="1" t="s">
        <v>3839</v>
      </c>
      <c r="B185" s="7">
        <v>57.44</v>
      </c>
      <c r="C185" s="9">
        <v>59.19</v>
      </c>
      <c r="D185" s="16">
        <f t="shared" si="20"/>
        <v>3.046657381615599E-2</v>
      </c>
      <c r="E185" s="9">
        <v>56.66</v>
      </c>
      <c r="F185" s="16">
        <f t="shared" si="17"/>
        <v>4.4652312036710225E-2</v>
      </c>
      <c r="G185" s="40"/>
      <c r="J185" s="9">
        <v>29.23</v>
      </c>
      <c r="K185" s="9">
        <f t="shared" si="16"/>
        <v>40.921999999999997</v>
      </c>
      <c r="L185" s="16">
        <f t="shared" si="19"/>
        <v>0.44641024387859835</v>
      </c>
    </row>
    <row r="186" spans="1:12" ht="12.75" customHeight="1">
      <c r="A186" s="1" t="s">
        <v>3840</v>
      </c>
      <c r="B186" s="7">
        <v>57.44</v>
      </c>
      <c r="C186" s="9">
        <v>59.19</v>
      </c>
      <c r="D186" s="16">
        <f t="shared" si="20"/>
        <v>3.046657381615599E-2</v>
      </c>
      <c r="E186" s="9">
        <v>56.66</v>
      </c>
      <c r="F186" s="16">
        <f t="shared" si="17"/>
        <v>4.4652312036710225E-2</v>
      </c>
      <c r="G186" s="40"/>
      <c r="J186" s="9">
        <v>29.23</v>
      </c>
      <c r="K186" s="9">
        <f t="shared" si="16"/>
        <v>40.921999999999997</v>
      </c>
      <c r="L186" s="16">
        <f t="shared" si="19"/>
        <v>0.44641024387859835</v>
      </c>
    </row>
    <row r="187" spans="1:12" ht="38.25">
      <c r="A187" s="1" t="s">
        <v>3841</v>
      </c>
      <c r="B187" s="7">
        <v>57.44</v>
      </c>
      <c r="C187" s="9">
        <v>59.19</v>
      </c>
      <c r="D187" s="16">
        <f t="shared" si="20"/>
        <v>3.046657381615599E-2</v>
      </c>
      <c r="E187" s="9">
        <v>56.66</v>
      </c>
      <c r="F187" s="16">
        <f t="shared" si="17"/>
        <v>4.4652312036710225E-2</v>
      </c>
      <c r="G187" s="40"/>
      <c r="J187" s="9">
        <v>29.23</v>
      </c>
      <c r="K187" s="9">
        <f t="shared" si="16"/>
        <v>40.921999999999997</v>
      </c>
      <c r="L187" s="16">
        <f t="shared" si="19"/>
        <v>0.44641024387859835</v>
      </c>
    </row>
    <row r="188" spans="1:12" ht="12.75" customHeight="1">
      <c r="A188" s="1" t="s">
        <v>3842</v>
      </c>
      <c r="B188" s="7">
        <v>57.44</v>
      </c>
      <c r="C188" s="9">
        <v>59.19</v>
      </c>
      <c r="D188" s="16">
        <f t="shared" si="20"/>
        <v>3.046657381615599E-2</v>
      </c>
      <c r="E188" s="9">
        <v>56.66</v>
      </c>
      <c r="F188" s="16">
        <f t="shared" si="17"/>
        <v>4.4652312036710225E-2</v>
      </c>
      <c r="G188" s="40"/>
      <c r="J188" s="9">
        <v>29.23</v>
      </c>
      <c r="K188" s="9">
        <f t="shared" si="16"/>
        <v>40.921999999999997</v>
      </c>
      <c r="L188" s="16">
        <f t="shared" si="19"/>
        <v>0.44641024387859835</v>
      </c>
    </row>
    <row r="189" spans="1:12" ht="12.75" customHeight="1">
      <c r="A189" s="1" t="s">
        <v>3843</v>
      </c>
      <c r="B189" s="7">
        <v>57.44</v>
      </c>
      <c r="C189" s="9">
        <v>59.19</v>
      </c>
      <c r="D189" s="16">
        <f t="shared" si="20"/>
        <v>3.046657381615599E-2</v>
      </c>
      <c r="E189" s="9">
        <v>56.66</v>
      </c>
      <c r="F189" s="16">
        <f t="shared" si="17"/>
        <v>4.4652312036710225E-2</v>
      </c>
      <c r="G189" s="40"/>
      <c r="J189" s="9">
        <v>29.23</v>
      </c>
      <c r="K189" s="9">
        <f t="shared" si="16"/>
        <v>40.921999999999997</v>
      </c>
      <c r="L189" s="16">
        <f t="shared" si="19"/>
        <v>0.44641024387859835</v>
      </c>
    </row>
    <row r="190" spans="1:12" ht="38.25">
      <c r="A190" s="1" t="s">
        <v>3844</v>
      </c>
      <c r="B190" s="7">
        <v>57.44</v>
      </c>
      <c r="C190" s="9">
        <v>59.19</v>
      </c>
      <c r="D190" s="16">
        <f t="shared" si="20"/>
        <v>3.046657381615599E-2</v>
      </c>
      <c r="E190" s="9">
        <v>56.66</v>
      </c>
      <c r="F190" s="16">
        <f t="shared" si="17"/>
        <v>4.4652312036710225E-2</v>
      </c>
      <c r="G190" s="40"/>
      <c r="J190" s="9">
        <v>29.23</v>
      </c>
      <c r="K190" s="9">
        <f t="shared" si="16"/>
        <v>40.921999999999997</v>
      </c>
      <c r="L190" s="16">
        <f t="shared" si="19"/>
        <v>0.44641024387859835</v>
      </c>
    </row>
    <row r="191" spans="1:12">
      <c r="A191" s="6" t="s">
        <v>3596</v>
      </c>
      <c r="B191" s="7"/>
      <c r="D191" s="16"/>
      <c r="E191" s="9"/>
      <c r="G191" s="40"/>
      <c r="J191" s="9"/>
      <c r="K191" s="9">
        <f t="shared" si="16"/>
        <v>0</v>
      </c>
      <c r="L191" s="16"/>
    </row>
    <row r="192" spans="1:12" ht="25.5">
      <c r="A192" s="1" t="s">
        <v>3845</v>
      </c>
      <c r="B192" s="7">
        <v>60.49</v>
      </c>
      <c r="C192" s="9">
        <v>62.24</v>
      </c>
      <c r="D192" s="16">
        <f>(C192-B192)/B192</f>
        <v>2.8930401719292443E-2</v>
      </c>
      <c r="E192" s="9">
        <v>56.66</v>
      </c>
      <c r="F192" s="16">
        <f t="shared" si="17"/>
        <v>9.84821743734558E-2</v>
      </c>
      <c r="G192" s="40"/>
      <c r="J192" s="9">
        <v>29.23</v>
      </c>
      <c r="K192" s="9">
        <f t="shared" si="16"/>
        <v>40.921999999999997</v>
      </c>
      <c r="L192" s="16">
        <f t="shared" si="19"/>
        <v>0.52094228043595148</v>
      </c>
    </row>
    <row r="193" spans="1:12" ht="25.5">
      <c r="A193" s="1" t="s">
        <v>3846</v>
      </c>
      <c r="B193" s="7">
        <v>58.44</v>
      </c>
      <c r="C193" s="9">
        <v>60.19</v>
      </c>
      <c r="D193" s="16">
        <f>(C193-B193)/B193</f>
        <v>2.994524298425736E-2</v>
      </c>
      <c r="E193" s="9">
        <v>56.66</v>
      </c>
      <c r="F193" s="16">
        <f t="shared" si="17"/>
        <v>6.2301447229085802E-2</v>
      </c>
      <c r="G193" s="40"/>
      <c r="J193" s="9">
        <v>29.23</v>
      </c>
      <c r="K193" s="9">
        <f t="shared" si="16"/>
        <v>40.921999999999997</v>
      </c>
      <c r="L193" s="16">
        <f t="shared" si="19"/>
        <v>0.47084697717609114</v>
      </c>
    </row>
    <row r="194" spans="1:12" ht="38.25">
      <c r="A194" s="1" t="s">
        <v>3847</v>
      </c>
      <c r="B194" s="7">
        <v>58.44</v>
      </c>
      <c r="C194" s="9">
        <v>60.19</v>
      </c>
      <c r="D194" s="16">
        <f>(C194-B194)/B194</f>
        <v>2.994524298425736E-2</v>
      </c>
      <c r="E194" s="9">
        <v>56.66</v>
      </c>
      <c r="F194" s="16">
        <f t="shared" si="17"/>
        <v>6.2301447229085802E-2</v>
      </c>
      <c r="G194" s="40"/>
      <c r="J194" s="9">
        <v>29.23</v>
      </c>
      <c r="K194" s="9">
        <f t="shared" si="16"/>
        <v>40.921999999999997</v>
      </c>
      <c r="L194" s="16">
        <f t="shared" si="19"/>
        <v>0.47084697717609114</v>
      </c>
    </row>
    <row r="195" spans="1:12" ht="38.25">
      <c r="A195" s="1" t="s">
        <v>3848</v>
      </c>
      <c r="B195" s="7">
        <v>60.49</v>
      </c>
      <c r="C195" s="9">
        <v>62.24</v>
      </c>
      <c r="D195" s="16">
        <f>(C195-B195)/B195</f>
        <v>2.8930401719292443E-2</v>
      </c>
      <c r="E195" s="9">
        <v>56.66</v>
      </c>
      <c r="F195" s="16">
        <f t="shared" si="17"/>
        <v>9.84821743734558E-2</v>
      </c>
      <c r="G195" s="40"/>
      <c r="J195" s="9">
        <v>29.23</v>
      </c>
      <c r="K195" s="9">
        <f t="shared" si="16"/>
        <v>40.921999999999997</v>
      </c>
      <c r="L195" s="16">
        <f t="shared" si="19"/>
        <v>0.52094228043595148</v>
      </c>
    </row>
    <row r="196" spans="1:12">
      <c r="A196" s="6" t="s">
        <v>3598</v>
      </c>
      <c r="B196" s="7"/>
      <c r="D196" s="16"/>
      <c r="E196" s="9"/>
      <c r="G196" s="40"/>
      <c r="J196" s="9"/>
      <c r="K196" s="9">
        <f t="shared" si="16"/>
        <v>0</v>
      </c>
      <c r="L196" s="16"/>
    </row>
    <row r="197" spans="1:12" ht="25.5">
      <c r="A197" s="1" t="s">
        <v>3849</v>
      </c>
      <c r="B197" s="7">
        <v>60.99</v>
      </c>
      <c r="C197" s="9">
        <v>62.24</v>
      </c>
      <c r="D197" s="16">
        <f>(C197-B197)/B197</f>
        <v>2.0495163141498605E-2</v>
      </c>
      <c r="E197" s="9">
        <v>56.66</v>
      </c>
      <c r="F197" s="16">
        <f t="shared" si="17"/>
        <v>9.84821743734558E-2</v>
      </c>
      <c r="G197" s="40"/>
      <c r="J197" s="9">
        <v>29.23</v>
      </c>
      <c r="K197" s="9">
        <f t="shared" si="16"/>
        <v>40.921999999999997</v>
      </c>
      <c r="L197" s="16">
        <f t="shared" si="19"/>
        <v>0.52094228043595148</v>
      </c>
    </row>
    <row r="198" spans="1:12" ht="25.5">
      <c r="A198" s="1" t="s">
        <v>3850</v>
      </c>
      <c r="B198" s="7">
        <v>59.44</v>
      </c>
      <c r="C198" s="9">
        <v>61.19</v>
      </c>
      <c r="D198" s="16">
        <f>(C198-B198)/B198</f>
        <v>2.9441453566621804E-2</v>
      </c>
      <c r="E198" s="9">
        <v>56.66</v>
      </c>
      <c r="F198" s="16">
        <f t="shared" si="17"/>
        <v>7.9950582421461372E-2</v>
      </c>
      <c r="G198" s="40"/>
      <c r="J198" s="9">
        <v>29.23</v>
      </c>
      <c r="K198" s="9">
        <f t="shared" si="16"/>
        <v>40.921999999999997</v>
      </c>
      <c r="L198" s="16">
        <f t="shared" si="19"/>
        <v>0.49528371047358394</v>
      </c>
    </row>
    <row r="199" spans="1:12" ht="38.25">
      <c r="A199" s="1" t="s">
        <v>3851</v>
      </c>
      <c r="B199" s="7">
        <v>59.44</v>
      </c>
      <c r="C199" s="9">
        <v>61.19</v>
      </c>
      <c r="D199" s="16">
        <f>(C199-B199)/B199</f>
        <v>2.9441453566621804E-2</v>
      </c>
      <c r="E199" s="9">
        <v>56.66</v>
      </c>
      <c r="F199" s="16">
        <f t="shared" si="17"/>
        <v>7.9950582421461372E-2</v>
      </c>
      <c r="G199" s="40"/>
      <c r="J199" s="9">
        <v>29.23</v>
      </c>
      <c r="K199" s="9">
        <f t="shared" si="16"/>
        <v>40.921999999999997</v>
      </c>
      <c r="L199" s="16">
        <f t="shared" si="19"/>
        <v>0.49528371047358394</v>
      </c>
    </row>
    <row r="200" spans="1:12" ht="38.25">
      <c r="A200" s="1" t="s">
        <v>3852</v>
      </c>
      <c r="B200" s="7">
        <v>60.99</v>
      </c>
      <c r="C200" s="9">
        <v>62.74</v>
      </c>
      <c r="D200" s="16">
        <f>(C200-B200)/B200</f>
        <v>2.8693228398098049E-2</v>
      </c>
      <c r="E200" s="9">
        <v>56.66</v>
      </c>
      <c r="F200" s="16">
        <f t="shared" si="17"/>
        <v>0.10730674196964358</v>
      </c>
      <c r="G200" s="40"/>
      <c r="J200" s="9">
        <v>29.23</v>
      </c>
      <c r="K200" s="9">
        <f t="shared" si="16"/>
        <v>40.921999999999997</v>
      </c>
      <c r="L200" s="16">
        <f t="shared" si="19"/>
        <v>0.5331606470846979</v>
      </c>
    </row>
    <row r="201" spans="1:12" ht="12.75" customHeight="1">
      <c r="A201" s="1" t="s">
        <v>3853</v>
      </c>
      <c r="B201" s="7">
        <v>61.44</v>
      </c>
      <c r="C201" s="9">
        <v>63.19</v>
      </c>
      <c r="D201" s="16">
        <f>(C201-B201)/B201</f>
        <v>2.8483072916666668E-2</v>
      </c>
      <c r="E201" s="9">
        <v>56.66</v>
      </c>
      <c r="F201" s="16">
        <f t="shared" si="17"/>
        <v>0.11524885280621253</v>
      </c>
      <c r="G201" s="40"/>
      <c r="J201" s="9">
        <v>29.23</v>
      </c>
      <c r="K201" s="9">
        <f t="shared" si="16"/>
        <v>40.921999999999997</v>
      </c>
      <c r="L201" s="16">
        <f t="shared" si="19"/>
        <v>0.54415717706856948</v>
      </c>
    </row>
    <row r="202" spans="1:12">
      <c r="A202" s="6" t="s">
        <v>3790</v>
      </c>
      <c r="B202" s="7"/>
      <c r="D202" s="16"/>
      <c r="E202" s="9"/>
      <c r="G202" s="40"/>
      <c r="J202" s="9"/>
      <c r="K202" s="9">
        <f t="shared" si="16"/>
        <v>0</v>
      </c>
      <c r="L202" s="16"/>
    </row>
    <row r="203" spans="1:12" ht="25.5">
      <c r="A203" s="1" t="s">
        <v>3854</v>
      </c>
      <c r="B203" s="7">
        <v>63.63</v>
      </c>
      <c r="C203" s="9">
        <v>65.38</v>
      </c>
      <c r="D203" s="16">
        <f>(C203-B203)/B203</f>
        <v>2.7502750275027389E-2</v>
      </c>
      <c r="E203" s="9">
        <v>56.66</v>
      </c>
      <c r="F203" s="16">
        <f t="shared" si="17"/>
        <v>0.153900458877515</v>
      </c>
      <c r="G203" s="40"/>
      <c r="J203" s="9">
        <v>29.23</v>
      </c>
      <c r="K203" s="9">
        <f t="shared" ref="K203:K266" si="21">J203*1.4</f>
        <v>40.921999999999997</v>
      </c>
      <c r="L203" s="16">
        <f t="shared" si="19"/>
        <v>0.59767362299007865</v>
      </c>
    </row>
    <row r="204" spans="1:12" ht="25.5">
      <c r="A204" s="1" t="s">
        <v>3855</v>
      </c>
      <c r="B204" s="7">
        <v>60.44</v>
      </c>
      <c r="C204" s="9">
        <v>62.19</v>
      </c>
      <c r="D204" s="16">
        <f>(C204-B204)/B204</f>
        <v>2.8954334877564526E-2</v>
      </c>
      <c r="E204" s="9">
        <v>56.66</v>
      </c>
      <c r="F204" s="16">
        <f t="shared" si="17"/>
        <v>9.7599717613836942E-2</v>
      </c>
      <c r="G204" s="40"/>
      <c r="J204" s="9">
        <v>29.23</v>
      </c>
      <c r="K204" s="9">
        <f t="shared" si="21"/>
        <v>40.921999999999997</v>
      </c>
      <c r="L204" s="16">
        <f t="shared" si="19"/>
        <v>0.51972044377107673</v>
      </c>
    </row>
    <row r="205" spans="1:12" ht="38.25">
      <c r="A205" s="1" t="s">
        <v>3856</v>
      </c>
      <c r="B205" s="7">
        <v>60.44</v>
      </c>
      <c r="C205" s="9">
        <v>62.19</v>
      </c>
      <c r="D205" s="16">
        <f>(C205-B205)/B205</f>
        <v>2.8954334877564526E-2</v>
      </c>
      <c r="E205" s="9">
        <v>56.66</v>
      </c>
      <c r="F205" s="16">
        <f t="shared" si="17"/>
        <v>9.7599717613836942E-2</v>
      </c>
      <c r="G205" s="40"/>
      <c r="J205" s="9">
        <v>29.23</v>
      </c>
      <c r="K205" s="9">
        <f t="shared" si="21"/>
        <v>40.921999999999997</v>
      </c>
      <c r="L205" s="16">
        <f t="shared" si="19"/>
        <v>0.51972044377107673</v>
      </c>
    </row>
    <row r="206" spans="1:12" ht="25.5">
      <c r="A206" s="1" t="s">
        <v>3857</v>
      </c>
      <c r="B206" s="7">
        <v>63.63</v>
      </c>
      <c r="C206" s="9">
        <v>65.38</v>
      </c>
      <c r="D206" s="16">
        <f>(C206-B206)/B206</f>
        <v>2.7502750275027389E-2</v>
      </c>
      <c r="E206" s="9">
        <v>56.66</v>
      </c>
      <c r="F206" s="16">
        <f t="shared" si="17"/>
        <v>0.153900458877515</v>
      </c>
      <c r="G206" s="40"/>
      <c r="J206" s="9">
        <v>29.23</v>
      </c>
      <c r="K206" s="9">
        <f t="shared" si="21"/>
        <v>40.921999999999997</v>
      </c>
      <c r="L206" s="16">
        <f t="shared" si="19"/>
        <v>0.59767362299007865</v>
      </c>
    </row>
    <row r="207" spans="1:12">
      <c r="A207" s="6" t="s">
        <v>3791</v>
      </c>
      <c r="B207" s="7"/>
      <c r="D207" s="16"/>
      <c r="E207" s="9"/>
      <c r="G207" s="40"/>
      <c r="J207" s="9"/>
      <c r="K207" s="9">
        <f t="shared" si="21"/>
        <v>0</v>
      </c>
      <c r="L207" s="16"/>
    </row>
    <row r="208" spans="1:12" ht="12.75" customHeight="1">
      <c r="A208" s="1" t="s">
        <v>3858</v>
      </c>
      <c r="B208" s="7">
        <v>65</v>
      </c>
      <c r="C208" s="9">
        <v>66.75</v>
      </c>
      <c r="D208" s="16">
        <f>(C208-B208)/B208</f>
        <v>2.6923076923076925E-2</v>
      </c>
      <c r="E208" s="9">
        <v>56.66</v>
      </c>
      <c r="F208" s="16">
        <f t="shared" si="17"/>
        <v>0.17807977409106962</v>
      </c>
      <c r="G208" s="40"/>
      <c r="J208" s="9">
        <v>29.23</v>
      </c>
      <c r="K208" s="9">
        <f t="shared" si="21"/>
        <v>40.921999999999997</v>
      </c>
      <c r="L208" s="16">
        <f t="shared" si="19"/>
        <v>0.63115194760764393</v>
      </c>
    </row>
    <row r="209" spans="1:12" ht="12.75" customHeight="1">
      <c r="A209" s="1" t="s">
        <v>3859</v>
      </c>
      <c r="B209" s="7">
        <v>61.44</v>
      </c>
      <c r="C209" s="9">
        <v>63.19</v>
      </c>
      <c r="D209" s="16">
        <f>(C209-B209)/B209</f>
        <v>2.8483072916666668E-2</v>
      </c>
      <c r="E209" s="9">
        <v>56.66</v>
      </c>
      <c r="F209" s="16">
        <f t="shared" si="17"/>
        <v>0.11524885280621253</v>
      </c>
      <c r="G209" s="40"/>
      <c r="J209" s="9">
        <v>29.23</v>
      </c>
      <c r="K209" s="9">
        <f t="shared" si="21"/>
        <v>40.921999999999997</v>
      </c>
      <c r="L209" s="16">
        <f t="shared" si="19"/>
        <v>0.54415717706856948</v>
      </c>
    </row>
    <row r="210" spans="1:12" ht="12.75" customHeight="1">
      <c r="A210" s="1" t="s">
        <v>3860</v>
      </c>
      <c r="B210" s="7">
        <v>61.44</v>
      </c>
      <c r="C210" s="9">
        <v>63.19</v>
      </c>
      <c r="D210" s="16">
        <f>(C210-B210)/B210</f>
        <v>2.8483072916666668E-2</v>
      </c>
      <c r="E210" s="9">
        <v>56.66</v>
      </c>
      <c r="F210" s="16">
        <f>(C210-E210)/E210</f>
        <v>0.11524885280621253</v>
      </c>
      <c r="G210" s="40"/>
      <c r="J210" s="9">
        <v>29.23</v>
      </c>
      <c r="K210" s="9">
        <f t="shared" si="21"/>
        <v>40.921999999999997</v>
      </c>
      <c r="L210" s="16">
        <f t="shared" si="19"/>
        <v>0.54415717706856948</v>
      </c>
    </row>
    <row r="211" spans="1:12" ht="25.5">
      <c r="A211" s="1" t="s">
        <v>3861</v>
      </c>
      <c r="B211" s="7">
        <v>61.44</v>
      </c>
      <c r="C211" s="9">
        <v>63.19</v>
      </c>
      <c r="D211" s="16">
        <f>(C211-B211)/B211</f>
        <v>2.8483072916666668E-2</v>
      </c>
      <c r="E211" s="9">
        <v>56.66</v>
      </c>
      <c r="F211" s="16">
        <f>(C211-E211)/E211</f>
        <v>0.11524885280621253</v>
      </c>
      <c r="G211" s="40"/>
      <c r="J211" s="9">
        <v>29.23</v>
      </c>
      <c r="K211" s="9">
        <f t="shared" si="21"/>
        <v>40.921999999999997</v>
      </c>
      <c r="L211" s="16">
        <f t="shared" si="19"/>
        <v>0.54415717706856948</v>
      </c>
    </row>
    <row r="212" spans="1:12" ht="12.75" customHeight="1">
      <c r="A212" s="1" t="s">
        <v>3862</v>
      </c>
      <c r="B212" s="7">
        <v>65</v>
      </c>
      <c r="C212" s="9">
        <v>66.75</v>
      </c>
      <c r="D212" s="16">
        <f>(C212-B212)/B212</f>
        <v>2.6923076923076925E-2</v>
      </c>
      <c r="E212" s="9">
        <v>56.66</v>
      </c>
      <c r="F212" s="16">
        <f>(C212-E212)/E212</f>
        <v>0.17807977409106962</v>
      </c>
      <c r="G212" s="40"/>
      <c r="J212" s="9">
        <v>29.23</v>
      </c>
      <c r="K212" s="9">
        <f t="shared" si="21"/>
        <v>40.921999999999997</v>
      </c>
      <c r="L212" s="16">
        <f t="shared" si="19"/>
        <v>0.63115194760764393</v>
      </c>
    </row>
    <row r="213" spans="1:12" ht="12.75" customHeight="1">
      <c r="A213" s="1" t="s">
        <v>3863</v>
      </c>
      <c r="B213" s="5" t="s">
        <v>3534</v>
      </c>
      <c r="D213" s="16"/>
      <c r="E213" s="9"/>
      <c r="G213" s="40"/>
      <c r="J213" s="9"/>
      <c r="K213" s="9">
        <f t="shared" si="21"/>
        <v>0</v>
      </c>
      <c r="L213" s="16"/>
    </row>
    <row r="214" spans="1:12" ht="12.75" customHeight="1">
      <c r="A214" s="1" t="s">
        <v>3805</v>
      </c>
      <c r="B214" s="5" t="s">
        <v>3534</v>
      </c>
      <c r="D214" s="16"/>
      <c r="E214" s="9"/>
      <c r="G214" s="40"/>
      <c r="J214" s="9"/>
      <c r="K214" s="9">
        <f t="shared" si="21"/>
        <v>0</v>
      </c>
      <c r="L214" s="16"/>
    </row>
    <row r="215" spans="1:12">
      <c r="A215" s="143"/>
      <c r="B215" s="143"/>
      <c r="D215" s="16"/>
      <c r="E215" s="9"/>
      <c r="G215" s="40"/>
      <c r="J215" s="9"/>
      <c r="K215" s="9">
        <f t="shared" si="21"/>
        <v>0</v>
      </c>
      <c r="L215" s="16"/>
    </row>
    <row r="216" spans="1:12">
      <c r="A216" s="143"/>
      <c r="B216" s="143"/>
      <c r="D216" s="16"/>
      <c r="E216" s="9"/>
      <c r="G216" s="40"/>
      <c r="J216" s="9"/>
      <c r="K216" s="9">
        <f t="shared" si="21"/>
        <v>0</v>
      </c>
      <c r="L216" s="16"/>
    </row>
    <row r="217" spans="1:12" ht="12.75" customHeight="1">
      <c r="A217" s="144" t="s">
        <v>3864</v>
      </c>
      <c r="B217" s="144"/>
      <c r="C217" s="44"/>
      <c r="D217" s="43"/>
      <c r="E217" s="44"/>
      <c r="F217" s="8"/>
      <c r="G217" s="23" t="s">
        <v>3983</v>
      </c>
      <c r="H217" s="43">
        <f>AVERAGE(F220:F229)</f>
        <v>0.12747420710737478</v>
      </c>
      <c r="I217" s="8"/>
      <c r="J217" s="44"/>
      <c r="K217" s="9">
        <f t="shared" si="21"/>
        <v>0</v>
      </c>
      <c r="L217" s="43"/>
    </row>
    <row r="218" spans="1:12">
      <c r="A218" s="1"/>
      <c r="D218" s="16"/>
      <c r="E218" s="9"/>
      <c r="G218" s="40"/>
      <c r="J218" s="9"/>
      <c r="K218" s="9">
        <f t="shared" si="21"/>
        <v>0</v>
      </c>
      <c r="L218" s="16"/>
    </row>
    <row r="219" spans="1:12" ht="12.75" customHeight="1">
      <c r="A219" s="3" t="s">
        <v>3569</v>
      </c>
      <c r="B219" s="3" t="s">
        <v>3510</v>
      </c>
      <c r="D219" s="16"/>
      <c r="E219" s="9"/>
      <c r="G219" s="40"/>
      <c r="J219" s="9"/>
      <c r="K219" s="9">
        <f t="shared" si="21"/>
        <v>0</v>
      </c>
    </row>
    <row r="220" spans="1:12" ht="12.75" customHeight="1">
      <c r="A220" s="1" t="s">
        <v>3573</v>
      </c>
      <c r="B220" s="7">
        <v>55.84</v>
      </c>
      <c r="C220" s="9">
        <v>57.59</v>
      </c>
      <c r="D220" s="16">
        <f t="shared" ref="D220:D229" si="22">(C220-B220)/B220</f>
        <v>3.1339541547277937E-2</v>
      </c>
      <c r="E220" s="9">
        <v>52.34</v>
      </c>
      <c r="F220" s="16">
        <f t="shared" ref="F220:F229" si="23">(C220-E220)/E220</f>
        <v>0.10030569354222392</v>
      </c>
      <c r="G220" s="40"/>
      <c r="J220" s="9">
        <v>29.7</v>
      </c>
      <c r="K220" s="9">
        <f t="shared" si="21"/>
        <v>41.58</v>
      </c>
      <c r="L220" s="16">
        <f>(C220-K220)/K220</f>
        <v>0.38504088504088518</v>
      </c>
    </row>
    <row r="221" spans="1:12" ht="12.75" customHeight="1">
      <c r="A221" s="1" t="s">
        <v>3575</v>
      </c>
      <c r="B221" s="7">
        <v>56.65</v>
      </c>
      <c r="C221" s="9">
        <v>58.4</v>
      </c>
      <c r="D221" s="16">
        <f t="shared" si="22"/>
        <v>3.089143865842895E-2</v>
      </c>
      <c r="E221" s="9">
        <v>52.34</v>
      </c>
      <c r="F221" s="16">
        <f t="shared" si="23"/>
        <v>0.11578142911730979</v>
      </c>
      <c r="G221" s="40"/>
      <c r="J221" s="9">
        <v>29.7</v>
      </c>
      <c r="K221" s="9">
        <f t="shared" si="21"/>
        <v>41.58</v>
      </c>
      <c r="L221" s="16">
        <f t="shared" ref="L221:L229" si="24">(C221-K221)/K221</f>
        <v>0.40452140452140456</v>
      </c>
    </row>
    <row r="222" spans="1:12" ht="12.75" customHeight="1">
      <c r="A222" s="1" t="s">
        <v>3576</v>
      </c>
      <c r="B222" s="7">
        <v>56.87</v>
      </c>
      <c r="C222" s="9">
        <v>58.62</v>
      </c>
      <c r="D222" s="16">
        <f t="shared" si="22"/>
        <v>3.0771935994373133E-2</v>
      </c>
      <c r="E222" s="9">
        <v>52.34</v>
      </c>
      <c r="F222" s="16">
        <f t="shared" si="23"/>
        <v>0.11998471532288868</v>
      </c>
      <c r="G222" s="40"/>
      <c r="J222" s="9">
        <v>29.7</v>
      </c>
      <c r="K222" s="9">
        <f t="shared" si="21"/>
        <v>41.58</v>
      </c>
      <c r="L222" s="16">
        <f t="shared" si="24"/>
        <v>0.40981240981240979</v>
      </c>
    </row>
    <row r="223" spans="1:12" ht="12.75" customHeight="1">
      <c r="A223" s="1" t="s">
        <v>3577</v>
      </c>
      <c r="B223" s="7">
        <v>57.15</v>
      </c>
      <c r="C223" s="9">
        <v>58.9</v>
      </c>
      <c r="D223" s="16">
        <f t="shared" si="22"/>
        <v>3.0621172353455819E-2</v>
      </c>
      <c r="E223" s="9">
        <v>52.34</v>
      </c>
      <c r="F223" s="16">
        <f t="shared" si="23"/>
        <v>0.12533435231180731</v>
      </c>
      <c r="G223" s="40"/>
      <c r="J223" s="9">
        <v>29.7</v>
      </c>
      <c r="K223" s="9">
        <f t="shared" si="21"/>
        <v>41.58</v>
      </c>
      <c r="L223" s="16">
        <f t="shared" si="24"/>
        <v>0.41654641654641655</v>
      </c>
    </row>
    <row r="224" spans="1:12" ht="12.75" customHeight="1">
      <c r="A224" s="1" t="s">
        <v>3579</v>
      </c>
      <c r="B224" s="7">
        <v>57.27</v>
      </c>
      <c r="C224" s="9">
        <v>59.02</v>
      </c>
      <c r="D224" s="16">
        <f t="shared" si="22"/>
        <v>3.0557010651300853E-2</v>
      </c>
      <c r="E224" s="9">
        <v>52.34</v>
      </c>
      <c r="F224" s="16">
        <f t="shared" si="23"/>
        <v>0.1276270538784868</v>
      </c>
      <c r="G224" s="40"/>
      <c r="J224" s="9">
        <v>29.7</v>
      </c>
      <c r="K224" s="9">
        <f t="shared" si="21"/>
        <v>41.58</v>
      </c>
      <c r="L224" s="16">
        <f t="shared" si="24"/>
        <v>0.41943241943241955</v>
      </c>
    </row>
    <row r="225" spans="1:12" ht="12.75" customHeight="1">
      <c r="A225" s="1" t="s">
        <v>3580</v>
      </c>
      <c r="B225" s="7">
        <v>57.37</v>
      </c>
      <c r="C225" s="9">
        <v>59.12</v>
      </c>
      <c r="D225" s="16">
        <f t="shared" si="22"/>
        <v>3.0503747603276975E-2</v>
      </c>
      <c r="E225" s="9">
        <v>52.34</v>
      </c>
      <c r="F225" s="16">
        <f t="shared" si="23"/>
        <v>0.1295376385173862</v>
      </c>
      <c r="G225" s="40"/>
      <c r="J225" s="9">
        <v>29.7</v>
      </c>
      <c r="K225" s="9">
        <f t="shared" si="21"/>
        <v>41.58</v>
      </c>
      <c r="L225" s="16">
        <f t="shared" si="24"/>
        <v>0.42183742183742184</v>
      </c>
    </row>
    <row r="226" spans="1:12" ht="12.75" customHeight="1">
      <c r="A226" s="1" t="s">
        <v>3593</v>
      </c>
      <c r="B226" s="7">
        <v>57.4</v>
      </c>
      <c r="C226" s="9">
        <v>59.15</v>
      </c>
      <c r="D226" s="16">
        <f t="shared" si="22"/>
        <v>3.048780487804878E-2</v>
      </c>
      <c r="E226" s="9">
        <v>52.34</v>
      </c>
      <c r="F226" s="16">
        <f t="shared" si="23"/>
        <v>0.13011081390905607</v>
      </c>
      <c r="G226" s="40"/>
      <c r="J226" s="9">
        <v>29.7</v>
      </c>
      <c r="K226" s="9">
        <f t="shared" si="21"/>
        <v>41.58</v>
      </c>
      <c r="L226" s="16">
        <f t="shared" si="24"/>
        <v>0.42255892255892258</v>
      </c>
    </row>
    <row r="227" spans="1:12" ht="12.75" customHeight="1">
      <c r="A227" s="1" t="s">
        <v>3594</v>
      </c>
      <c r="B227" s="7">
        <v>57.77</v>
      </c>
      <c r="C227" s="9">
        <v>59.52</v>
      </c>
      <c r="D227" s="16">
        <f t="shared" si="22"/>
        <v>3.0292539380301194E-2</v>
      </c>
      <c r="E227" s="9">
        <v>52.34</v>
      </c>
      <c r="F227" s="16">
        <f t="shared" si="23"/>
        <v>0.13717997707298432</v>
      </c>
      <c r="G227" s="40"/>
      <c r="J227" s="9">
        <v>29.7</v>
      </c>
      <c r="K227" s="9">
        <f t="shared" si="21"/>
        <v>41.58</v>
      </c>
      <c r="L227" s="16">
        <f t="shared" si="24"/>
        <v>0.43145743145743159</v>
      </c>
    </row>
    <row r="228" spans="1:12" ht="12.75" customHeight="1">
      <c r="A228" s="1" t="s">
        <v>3595</v>
      </c>
      <c r="B228" s="7">
        <v>57.9</v>
      </c>
      <c r="C228" s="9">
        <v>59.65</v>
      </c>
      <c r="D228" s="16">
        <f t="shared" si="22"/>
        <v>3.0224525043177894E-2</v>
      </c>
      <c r="E228" s="9">
        <v>52.34</v>
      </c>
      <c r="F228" s="16">
        <f t="shared" si="23"/>
        <v>0.13966373710355359</v>
      </c>
      <c r="G228" s="40"/>
      <c r="J228" s="9">
        <v>29.7</v>
      </c>
      <c r="K228" s="9">
        <f t="shared" si="21"/>
        <v>41.58</v>
      </c>
      <c r="L228" s="16">
        <f t="shared" si="24"/>
        <v>0.43458393458393463</v>
      </c>
    </row>
    <row r="229" spans="1:12" ht="12.75" customHeight="1">
      <c r="A229" s="1" t="s">
        <v>3596</v>
      </c>
      <c r="B229" s="7">
        <v>58.4</v>
      </c>
      <c r="C229" s="9">
        <v>60.15</v>
      </c>
      <c r="D229" s="16">
        <f t="shared" si="22"/>
        <v>2.9965753424657536E-2</v>
      </c>
      <c r="E229" s="9">
        <v>52.34</v>
      </c>
      <c r="F229" s="16">
        <f t="shared" si="23"/>
        <v>0.14921666029805111</v>
      </c>
      <c r="G229" s="40"/>
      <c r="J229" s="9">
        <v>29.7</v>
      </c>
      <c r="K229" s="9">
        <f t="shared" si="21"/>
        <v>41.58</v>
      </c>
      <c r="L229" s="16">
        <f t="shared" si="24"/>
        <v>0.44660894660894662</v>
      </c>
    </row>
    <row r="230" spans="1:12">
      <c r="A230" s="143"/>
      <c r="B230" s="143"/>
      <c r="D230" s="16"/>
      <c r="E230" s="9"/>
      <c r="G230" s="40"/>
      <c r="J230" s="9"/>
      <c r="K230" s="9">
        <f t="shared" si="21"/>
        <v>0</v>
      </c>
      <c r="L230" s="16"/>
    </row>
    <row r="231" spans="1:12">
      <c r="A231" s="143"/>
      <c r="B231" s="143"/>
      <c r="D231" s="16"/>
      <c r="E231" s="9"/>
      <c r="G231" s="40"/>
      <c r="J231" s="9"/>
      <c r="K231" s="9">
        <f t="shared" si="21"/>
        <v>0</v>
      </c>
      <c r="L231" s="16"/>
    </row>
    <row r="232" spans="1:12" ht="12.75" customHeight="1">
      <c r="A232" s="144" t="s">
        <v>3865</v>
      </c>
      <c r="B232" s="144"/>
      <c r="C232" s="44"/>
      <c r="D232" s="43"/>
      <c r="E232" s="44"/>
      <c r="F232" s="8"/>
      <c r="G232" s="23" t="s">
        <v>3983</v>
      </c>
      <c r="H232" s="43">
        <f>AVERAGE(F234:F242)</f>
        <v>4.0357689139898865E-2</v>
      </c>
      <c r="I232" s="8"/>
      <c r="J232" s="44"/>
      <c r="K232" s="9">
        <f t="shared" si="21"/>
        <v>0</v>
      </c>
      <c r="L232" s="43"/>
    </row>
    <row r="233" spans="1:12" ht="12.75" customHeight="1">
      <c r="A233" s="3" t="s">
        <v>3569</v>
      </c>
      <c r="B233" s="3" t="s">
        <v>3510</v>
      </c>
      <c r="D233" s="16"/>
      <c r="E233" s="9"/>
      <c r="G233" s="40"/>
      <c r="J233" s="9"/>
      <c r="K233" s="9">
        <f t="shared" si="21"/>
        <v>0</v>
      </c>
      <c r="L233" s="16"/>
    </row>
    <row r="234" spans="1:12" ht="12.75" customHeight="1">
      <c r="A234" s="1" t="s">
        <v>3573</v>
      </c>
      <c r="B234" s="7">
        <v>55.77</v>
      </c>
      <c r="C234" s="9">
        <v>57.52</v>
      </c>
      <c r="D234" s="16">
        <f t="shared" ref="D234:D242" si="25">(C234-B234)/B234</f>
        <v>3.1378877532723684E-2</v>
      </c>
      <c r="E234" s="9">
        <v>56.66</v>
      </c>
      <c r="F234" s="16">
        <f t="shared" ref="F234:F242" si="26">(C234-E234)/E234</f>
        <v>1.517825626544311E-2</v>
      </c>
      <c r="G234" s="40"/>
      <c r="J234" s="9">
        <v>29.23</v>
      </c>
      <c r="K234" s="9">
        <f t="shared" si="21"/>
        <v>40.921999999999997</v>
      </c>
      <c r="L234" s="16">
        <f>(C234-K234)/K234</f>
        <v>0.40560089927178555</v>
      </c>
    </row>
    <row r="235" spans="1:12" ht="12.75" customHeight="1">
      <c r="A235" s="1" t="s">
        <v>3575</v>
      </c>
      <c r="B235" s="7">
        <v>56.72</v>
      </c>
      <c r="C235" s="9">
        <v>58.47</v>
      </c>
      <c r="D235" s="16">
        <f t="shared" si="25"/>
        <v>3.0853314527503527E-2</v>
      </c>
      <c r="E235" s="9">
        <v>56.66</v>
      </c>
      <c r="F235" s="16">
        <f t="shared" si="26"/>
        <v>3.1944934698199833E-2</v>
      </c>
      <c r="G235" s="40"/>
      <c r="J235" s="9">
        <v>29.23</v>
      </c>
      <c r="K235" s="9">
        <f t="shared" si="21"/>
        <v>40.921999999999997</v>
      </c>
      <c r="L235" s="16">
        <f t="shared" ref="L235:L242" si="27">(C235-K235)/K235</f>
        <v>0.42881579590440355</v>
      </c>
    </row>
    <row r="236" spans="1:12" ht="12.75" customHeight="1">
      <c r="A236" s="1" t="s">
        <v>3576</v>
      </c>
      <c r="B236" s="7">
        <v>57.01</v>
      </c>
      <c r="C236" s="9">
        <v>58.76</v>
      </c>
      <c r="D236" s="16">
        <f t="shared" si="25"/>
        <v>3.0696369058059992E-2</v>
      </c>
      <c r="E236" s="9">
        <v>56.66</v>
      </c>
      <c r="F236" s="16">
        <f t="shared" si="26"/>
        <v>3.7063183903988731E-2</v>
      </c>
      <c r="G236" s="40"/>
      <c r="J236" s="9">
        <v>29.23</v>
      </c>
      <c r="K236" s="9">
        <f t="shared" si="21"/>
        <v>40.921999999999997</v>
      </c>
      <c r="L236" s="16">
        <f t="shared" si="27"/>
        <v>0.43590244856067645</v>
      </c>
    </row>
    <row r="237" spans="1:12" ht="12.75" customHeight="1">
      <c r="A237" s="1" t="s">
        <v>3577</v>
      </c>
      <c r="B237" s="7">
        <v>57.15</v>
      </c>
      <c r="C237" s="9">
        <v>58.9</v>
      </c>
      <c r="D237" s="16">
        <f t="shared" si="25"/>
        <v>3.0621172353455819E-2</v>
      </c>
      <c r="E237" s="9">
        <v>56.66</v>
      </c>
      <c r="F237" s="16">
        <f t="shared" si="26"/>
        <v>3.953406283092132E-2</v>
      </c>
      <c r="G237" s="40"/>
      <c r="J237" s="9">
        <v>29.23</v>
      </c>
      <c r="K237" s="9">
        <f t="shared" si="21"/>
        <v>40.921999999999997</v>
      </c>
      <c r="L237" s="16">
        <f t="shared" si="27"/>
        <v>0.43932359122232545</v>
      </c>
    </row>
    <row r="238" spans="1:12" ht="12.75" customHeight="1">
      <c r="A238" s="1" t="s">
        <v>3579</v>
      </c>
      <c r="B238" s="7">
        <v>57.37</v>
      </c>
      <c r="C238" s="9">
        <v>59.12</v>
      </c>
      <c r="D238" s="16">
        <f t="shared" si="25"/>
        <v>3.0503747603276975E-2</v>
      </c>
      <c r="E238" s="9">
        <v>56.66</v>
      </c>
      <c r="F238" s="16">
        <f t="shared" si="26"/>
        <v>4.3416872573243927E-2</v>
      </c>
      <c r="G238" s="40"/>
      <c r="J238" s="9">
        <v>29.23</v>
      </c>
      <c r="K238" s="9">
        <f t="shared" si="21"/>
        <v>40.921999999999997</v>
      </c>
      <c r="L238" s="16">
        <f t="shared" si="27"/>
        <v>0.44469967254777387</v>
      </c>
    </row>
    <row r="239" spans="1:12" ht="12.75" customHeight="1">
      <c r="A239" s="1" t="s">
        <v>3580</v>
      </c>
      <c r="B239" s="7">
        <v>57.48</v>
      </c>
      <c r="C239" s="9">
        <v>59.23</v>
      </c>
      <c r="D239" s="16">
        <f t="shared" si="25"/>
        <v>3.0445372303409882E-2</v>
      </c>
      <c r="E239" s="9">
        <v>56.66</v>
      </c>
      <c r="F239" s="16">
        <f t="shared" si="26"/>
        <v>4.535827744440523E-2</v>
      </c>
      <c r="G239" s="40"/>
      <c r="J239" s="9">
        <v>29.23</v>
      </c>
      <c r="K239" s="9">
        <f t="shared" si="21"/>
        <v>40.921999999999997</v>
      </c>
      <c r="L239" s="16">
        <f t="shared" si="27"/>
        <v>0.44738771321049803</v>
      </c>
    </row>
    <row r="240" spans="1:12" ht="12.75" customHeight="1">
      <c r="A240" s="1" t="s">
        <v>3593</v>
      </c>
      <c r="B240" s="7">
        <v>57.6</v>
      </c>
      <c r="C240" s="9">
        <v>59.35</v>
      </c>
      <c r="D240" s="16">
        <f t="shared" si="25"/>
        <v>3.0381944444444444E-2</v>
      </c>
      <c r="E240" s="9">
        <v>56.66</v>
      </c>
      <c r="F240" s="16">
        <f t="shared" si="26"/>
        <v>4.7476173667490379E-2</v>
      </c>
      <c r="G240" s="40"/>
      <c r="J240" s="9">
        <v>29.23</v>
      </c>
      <c r="K240" s="9">
        <f t="shared" si="21"/>
        <v>40.921999999999997</v>
      </c>
      <c r="L240" s="16">
        <f t="shared" si="27"/>
        <v>0.4503201212061973</v>
      </c>
    </row>
    <row r="241" spans="1:12" ht="12.75" customHeight="1">
      <c r="A241" s="1" t="s">
        <v>3594</v>
      </c>
      <c r="B241" s="7">
        <v>57.77</v>
      </c>
      <c r="C241" s="9">
        <v>59.52</v>
      </c>
      <c r="D241" s="16">
        <f t="shared" si="25"/>
        <v>3.0292539380301194E-2</v>
      </c>
      <c r="E241" s="9">
        <v>56.66</v>
      </c>
      <c r="F241" s="16">
        <f t="shared" si="26"/>
        <v>5.047652665019426E-2</v>
      </c>
      <c r="G241" s="40"/>
      <c r="J241" s="9">
        <v>29.23</v>
      </c>
      <c r="K241" s="9">
        <f t="shared" si="21"/>
        <v>40.921999999999997</v>
      </c>
      <c r="L241" s="16">
        <f t="shared" si="27"/>
        <v>0.45447436586677109</v>
      </c>
    </row>
    <row r="242" spans="1:12" ht="12.75" customHeight="1">
      <c r="A242" s="1" t="s">
        <v>3595</v>
      </c>
      <c r="B242" s="7">
        <v>57.9</v>
      </c>
      <c r="C242" s="9">
        <v>59.65</v>
      </c>
      <c r="D242" s="16">
        <f t="shared" si="25"/>
        <v>3.0224525043177894E-2</v>
      </c>
      <c r="E242" s="9">
        <v>56.66</v>
      </c>
      <c r="F242" s="16">
        <f t="shared" si="26"/>
        <v>5.2770914225203004E-2</v>
      </c>
      <c r="G242" s="40"/>
      <c r="J242" s="9">
        <v>29.23</v>
      </c>
      <c r="K242" s="9">
        <f t="shared" si="21"/>
        <v>40.921999999999997</v>
      </c>
      <c r="L242" s="16">
        <f t="shared" si="27"/>
        <v>0.45765114119544509</v>
      </c>
    </row>
    <row r="243" spans="1:12">
      <c r="A243" s="1"/>
      <c r="B243" s="1"/>
      <c r="D243" s="16"/>
      <c r="E243" s="9"/>
      <c r="G243" s="40"/>
      <c r="J243" s="9"/>
      <c r="K243" s="9">
        <f t="shared" si="21"/>
        <v>0</v>
      </c>
      <c r="L243" s="16"/>
    </row>
    <row r="244" spans="1:12">
      <c r="A244" s="2" t="s">
        <v>3866</v>
      </c>
      <c r="B244" s="1"/>
      <c r="C244" s="44"/>
      <c r="D244" s="43"/>
      <c r="E244" s="44"/>
      <c r="F244" s="8"/>
      <c r="G244" s="23" t="s">
        <v>3983</v>
      </c>
      <c r="H244" s="43">
        <f>AVERAGE(F245:F246)</f>
        <v>3.7228319345814519E-2</v>
      </c>
      <c r="I244" s="8"/>
      <c r="J244" s="44"/>
      <c r="K244" s="9">
        <f t="shared" si="21"/>
        <v>0</v>
      </c>
      <c r="L244" s="43"/>
    </row>
    <row r="245" spans="1:12" ht="12.75" customHeight="1">
      <c r="A245" s="1" t="s">
        <v>3867</v>
      </c>
      <c r="B245" s="7">
        <v>46.23</v>
      </c>
      <c r="C245" s="9">
        <v>46.64</v>
      </c>
      <c r="D245" s="16">
        <f>(C245-B245)/B245</f>
        <v>8.8686999783691052E-3</v>
      </c>
      <c r="E245" s="9">
        <v>46.47</v>
      </c>
      <c r="F245" s="16">
        <f>(C245-E245)/E245</f>
        <v>3.6582741553690921E-3</v>
      </c>
      <c r="G245" s="40"/>
      <c r="J245" s="9">
        <v>24.37</v>
      </c>
      <c r="K245" s="9">
        <f t="shared" si="21"/>
        <v>34.118000000000002</v>
      </c>
      <c r="L245" s="16">
        <f>(C245-K245)/K245</f>
        <v>0.36702034116888438</v>
      </c>
    </row>
    <row r="246" spans="1:12" ht="12.75" customHeight="1">
      <c r="A246" s="1" t="s">
        <v>3868</v>
      </c>
      <c r="B246" s="7">
        <v>49.35</v>
      </c>
      <c r="C246" s="9">
        <v>49.76</v>
      </c>
      <c r="D246" s="16">
        <f>(C246-B246)/B246</f>
        <v>8.3080040526848347E-3</v>
      </c>
      <c r="E246" s="9">
        <v>46.47</v>
      </c>
      <c r="F246" s="16">
        <f>(C246-E246)/E246</f>
        <v>7.0798364536259942E-2</v>
      </c>
      <c r="G246" s="40"/>
      <c r="J246" s="9">
        <v>24.37</v>
      </c>
      <c r="K246" s="9">
        <f t="shared" si="21"/>
        <v>34.118000000000002</v>
      </c>
      <c r="L246" s="16">
        <f>(C246-K246)/K246</f>
        <v>0.45846767102409269</v>
      </c>
    </row>
    <row r="247" spans="1:12">
      <c r="A247" s="143"/>
      <c r="B247" s="143"/>
      <c r="D247" s="16"/>
      <c r="E247" s="9"/>
      <c r="G247" s="40"/>
      <c r="J247" s="9"/>
      <c r="K247" s="9">
        <f t="shared" si="21"/>
        <v>0</v>
      </c>
      <c r="L247" s="16"/>
    </row>
    <row r="248" spans="1:12" ht="12.75" customHeight="1">
      <c r="A248" s="144" t="s">
        <v>3626</v>
      </c>
      <c r="B248" s="144"/>
      <c r="C248" s="44"/>
      <c r="D248" s="43"/>
      <c r="E248" s="44"/>
      <c r="F248" s="8"/>
      <c r="G248" s="23" t="s">
        <v>3983</v>
      </c>
      <c r="H248" s="8"/>
      <c r="I248" s="8"/>
      <c r="J248" s="44"/>
      <c r="K248" s="9">
        <f t="shared" si="21"/>
        <v>0</v>
      </c>
      <c r="L248" s="43"/>
    </row>
    <row r="249" spans="1:12" ht="12.75" customHeight="1">
      <c r="A249" s="1" t="s">
        <v>3869</v>
      </c>
      <c r="B249" s="7">
        <v>58.47</v>
      </c>
      <c r="C249" s="9">
        <v>58.47</v>
      </c>
      <c r="D249" s="16">
        <f t="shared" ref="D249:D254" si="28">(C249-B249)/B249</f>
        <v>0</v>
      </c>
      <c r="E249" s="9"/>
      <c r="G249" s="40"/>
      <c r="J249" s="9"/>
      <c r="K249" s="9">
        <f t="shared" si="21"/>
        <v>0</v>
      </c>
      <c r="L249" s="16"/>
    </row>
    <row r="250" spans="1:12" ht="12.75" customHeight="1">
      <c r="A250" s="1" t="s">
        <v>3870</v>
      </c>
      <c r="B250" s="7">
        <v>58.47</v>
      </c>
      <c r="C250" s="9">
        <v>58.47</v>
      </c>
      <c r="D250" s="16">
        <f t="shared" si="28"/>
        <v>0</v>
      </c>
      <c r="E250" s="9"/>
      <c r="G250" s="40"/>
      <c r="J250" s="9"/>
      <c r="K250" s="9">
        <f t="shared" si="21"/>
        <v>0</v>
      </c>
      <c r="L250" s="16"/>
    </row>
    <row r="251" spans="1:12" ht="12.75" customHeight="1">
      <c r="A251" s="1" t="s">
        <v>3628</v>
      </c>
      <c r="B251" s="7">
        <v>62.05</v>
      </c>
      <c r="C251" s="9">
        <v>58.47</v>
      </c>
      <c r="D251" s="16">
        <f t="shared" si="28"/>
        <v>-5.7695406929895221E-2</v>
      </c>
      <c r="E251" s="9"/>
      <c r="G251" s="40"/>
      <c r="J251" s="9"/>
      <c r="K251" s="9">
        <f t="shared" si="21"/>
        <v>0</v>
      </c>
      <c r="L251" s="16"/>
    </row>
    <row r="252" spans="1:12" ht="12.75" customHeight="1">
      <c r="A252" s="1" t="s">
        <v>3871</v>
      </c>
      <c r="B252" s="7">
        <v>58.47</v>
      </c>
      <c r="C252" s="9">
        <v>58.47</v>
      </c>
      <c r="D252" s="16">
        <f t="shared" si="28"/>
        <v>0</v>
      </c>
      <c r="E252" s="9"/>
      <c r="G252" s="40"/>
      <c r="J252" s="9"/>
      <c r="K252" s="9">
        <f t="shared" si="21"/>
        <v>0</v>
      </c>
      <c r="L252" s="16"/>
    </row>
    <row r="253" spans="1:12" ht="12.75" customHeight="1">
      <c r="A253" s="1" t="s">
        <v>3872</v>
      </c>
      <c r="B253" s="7">
        <v>58.47</v>
      </c>
      <c r="C253" s="9">
        <v>58.47</v>
      </c>
      <c r="D253" s="16">
        <f t="shared" si="28"/>
        <v>0</v>
      </c>
      <c r="E253" s="9"/>
      <c r="G253" s="40"/>
      <c r="J253" s="9"/>
      <c r="K253" s="9">
        <f t="shared" si="21"/>
        <v>0</v>
      </c>
      <c r="L253" s="16"/>
    </row>
    <row r="254" spans="1:12" ht="12.75" customHeight="1">
      <c r="A254" s="1" t="s">
        <v>3873</v>
      </c>
      <c r="B254" s="7">
        <v>58.47</v>
      </c>
      <c r="C254" s="9">
        <v>58.47</v>
      </c>
      <c r="D254" s="16">
        <f t="shared" si="28"/>
        <v>0</v>
      </c>
      <c r="E254" s="9"/>
      <c r="G254" s="40"/>
      <c r="J254" s="9"/>
      <c r="K254" s="9">
        <f t="shared" si="21"/>
        <v>0</v>
      </c>
      <c r="L254" s="16"/>
    </row>
    <row r="255" spans="1:12">
      <c r="A255" s="143"/>
      <c r="B255" s="143"/>
      <c r="D255" s="16"/>
      <c r="E255" s="9"/>
      <c r="G255" s="40"/>
      <c r="J255" s="9"/>
      <c r="K255" s="9">
        <f t="shared" si="21"/>
        <v>0</v>
      </c>
      <c r="L255" s="16"/>
    </row>
    <row r="256" spans="1:12" ht="12.75" customHeight="1">
      <c r="A256" s="2" t="s">
        <v>3874</v>
      </c>
      <c r="B256" s="3" t="s">
        <v>3510</v>
      </c>
      <c r="C256" s="44"/>
      <c r="D256" s="43"/>
      <c r="E256" s="44"/>
      <c r="F256" s="8"/>
      <c r="G256" s="23" t="s">
        <v>3983</v>
      </c>
      <c r="H256" s="43">
        <f>AVERAGE(F257:F259)</f>
        <v>4.8938547486033469E-2</v>
      </c>
      <c r="I256" s="8"/>
      <c r="J256" s="44"/>
      <c r="K256" s="9">
        <f t="shared" si="21"/>
        <v>0</v>
      </c>
      <c r="L256" s="43"/>
    </row>
    <row r="257" spans="1:12" ht="12.75" customHeight="1">
      <c r="A257" s="1" t="s">
        <v>3630</v>
      </c>
      <c r="B257" s="7">
        <v>44.69</v>
      </c>
      <c r="C257" s="9">
        <v>44.69</v>
      </c>
      <c r="D257" s="16">
        <f>(C257-B257)/B257</f>
        <v>0</v>
      </c>
      <c r="E257" s="9">
        <v>44.75</v>
      </c>
      <c r="F257" s="16">
        <f>(C257-E257)/E257</f>
        <v>-1.3407821229050787E-3</v>
      </c>
      <c r="G257" s="40"/>
      <c r="J257" s="9"/>
      <c r="K257" s="9">
        <f t="shared" si="21"/>
        <v>0</v>
      </c>
      <c r="L257" s="16"/>
    </row>
    <row r="258" spans="1:12" ht="12.75" customHeight="1">
      <c r="A258" s="1" t="s">
        <v>3631</v>
      </c>
      <c r="B258" s="7">
        <v>47.19</v>
      </c>
      <c r="C258" s="9">
        <v>47.19</v>
      </c>
      <c r="D258" s="16">
        <f>(C258-B258)/B258</f>
        <v>0</v>
      </c>
      <c r="E258" s="9">
        <v>44.75</v>
      </c>
      <c r="F258" s="16">
        <f>(C258-E258)/E258</f>
        <v>5.452513966480442E-2</v>
      </c>
      <c r="G258" s="40"/>
      <c r="J258" s="9"/>
      <c r="K258" s="9">
        <f t="shared" si="21"/>
        <v>0</v>
      </c>
      <c r="L258" s="16"/>
    </row>
    <row r="259" spans="1:12" ht="12.75" customHeight="1">
      <c r="A259" s="1" t="s">
        <v>3875</v>
      </c>
      <c r="B259" s="7">
        <v>48.94</v>
      </c>
      <c r="C259" s="9">
        <v>48.94</v>
      </c>
      <c r="D259" s="16">
        <f>(C259-B259)/B259</f>
        <v>0</v>
      </c>
      <c r="E259" s="9">
        <v>44.75</v>
      </c>
      <c r="F259" s="16">
        <f>(C259-E259)/E259</f>
        <v>9.3631284916201069E-2</v>
      </c>
      <c r="G259" s="40"/>
      <c r="J259" s="9"/>
      <c r="K259" s="9">
        <f t="shared" si="21"/>
        <v>0</v>
      </c>
      <c r="L259" s="16"/>
    </row>
    <row r="260" spans="1:12">
      <c r="A260" s="1"/>
      <c r="B260" s="1"/>
      <c r="D260" s="16"/>
      <c r="E260" s="9"/>
      <c r="G260" s="40"/>
      <c r="J260" s="9"/>
      <c r="K260" s="9">
        <f t="shared" si="21"/>
        <v>0</v>
      </c>
      <c r="L260" s="16"/>
    </row>
    <row r="261" spans="1:12" ht="12.75" customHeight="1">
      <c r="A261" s="2" t="s">
        <v>3632</v>
      </c>
      <c r="B261" s="5" t="s">
        <v>3534</v>
      </c>
      <c r="C261" s="44"/>
      <c r="D261" s="43"/>
      <c r="E261" s="44"/>
      <c r="F261" s="8"/>
      <c r="G261" s="23" t="s">
        <v>3983</v>
      </c>
      <c r="H261" s="43">
        <f>AVERAGE(F262:F264)</f>
        <v>8.4156341653199365E-2</v>
      </c>
      <c r="I261" s="8"/>
      <c r="J261" s="44"/>
      <c r="K261" s="9">
        <f t="shared" si="21"/>
        <v>0</v>
      </c>
      <c r="L261" s="43"/>
    </row>
    <row r="262" spans="1:12" ht="12.75" customHeight="1">
      <c r="A262" s="1" t="s">
        <v>3876</v>
      </c>
      <c r="B262" s="7">
        <v>56.02</v>
      </c>
      <c r="C262" s="9">
        <v>56.52</v>
      </c>
      <c r="D262" s="16">
        <f>(C262-B262)/B262</f>
        <v>8.9253837915030335E-3</v>
      </c>
      <c r="E262" s="9">
        <v>55.69</v>
      </c>
      <c r="F262" s="16">
        <f>(C262-E262)/E262</f>
        <v>1.4903932483390293E-2</v>
      </c>
      <c r="G262" s="40"/>
      <c r="J262" s="9">
        <v>28.35</v>
      </c>
      <c r="K262" s="9">
        <f t="shared" si="21"/>
        <v>39.69</v>
      </c>
      <c r="L262" s="16">
        <f>(C262-K262)/K262</f>
        <v>0.4240362811791385</v>
      </c>
    </row>
    <row r="263" spans="1:12" ht="12.75" customHeight="1">
      <c r="A263" s="1" t="s">
        <v>3634</v>
      </c>
      <c r="B263" s="7">
        <v>59.83</v>
      </c>
      <c r="C263" s="9">
        <v>60.38</v>
      </c>
      <c r="D263" s="16">
        <f>(C263-B263)/B263</f>
        <v>9.1927126859435784E-3</v>
      </c>
      <c r="E263" s="9">
        <v>55.69</v>
      </c>
      <c r="F263" s="16">
        <f>(C263-E263)/E263</f>
        <v>8.4216196803735058E-2</v>
      </c>
      <c r="G263" s="40"/>
      <c r="J263" s="9">
        <v>28.35</v>
      </c>
      <c r="K263" s="9">
        <f t="shared" si="21"/>
        <v>39.69</v>
      </c>
      <c r="L263" s="16">
        <f t="shared" ref="L263:L264" si="29">(C263-K263)/K263</f>
        <v>0.52128999748047378</v>
      </c>
    </row>
    <row r="264" spans="1:12" ht="12.75" customHeight="1">
      <c r="A264" s="1" t="s">
        <v>3635</v>
      </c>
      <c r="B264" s="7">
        <v>63.65</v>
      </c>
      <c r="C264" s="9">
        <v>64.23</v>
      </c>
      <c r="D264" s="16">
        <f>(C264-B264)/B264</f>
        <v>9.1123330714847663E-3</v>
      </c>
      <c r="E264" s="9">
        <v>55.69</v>
      </c>
      <c r="F264" s="16">
        <f>(C264-E264)/E264</f>
        <v>0.15334889567247273</v>
      </c>
      <c r="G264" s="40"/>
      <c r="J264" s="9">
        <v>28.35</v>
      </c>
      <c r="K264" s="9">
        <f t="shared" si="21"/>
        <v>39.69</v>
      </c>
      <c r="L264" s="16">
        <f t="shared" si="29"/>
        <v>0.61829176114890416</v>
      </c>
    </row>
    <row r="265" spans="1:12">
      <c r="A265" s="1"/>
      <c r="B265" s="1"/>
      <c r="D265" s="16"/>
      <c r="E265" s="9"/>
      <c r="G265" s="40"/>
      <c r="J265" s="9"/>
      <c r="K265" s="9">
        <f t="shared" si="21"/>
        <v>0</v>
      </c>
      <c r="L265" s="16"/>
    </row>
    <row r="266" spans="1:12">
      <c r="A266" s="2" t="s">
        <v>3636</v>
      </c>
      <c r="B266" s="1"/>
      <c r="C266" s="44"/>
      <c r="D266" s="43"/>
      <c r="E266" s="44"/>
      <c r="F266" s="8"/>
      <c r="G266" s="23" t="s">
        <v>3984</v>
      </c>
      <c r="H266" s="8"/>
      <c r="I266" s="43">
        <f>AVERAGE(F267:F269)</f>
        <v>0</v>
      </c>
      <c r="J266" s="44"/>
      <c r="K266" s="9">
        <f t="shared" si="21"/>
        <v>0</v>
      </c>
      <c r="L266" s="43"/>
    </row>
    <row r="267" spans="1:12" ht="12.75" customHeight="1">
      <c r="A267" s="1" t="s">
        <v>3637</v>
      </c>
      <c r="B267" s="7">
        <v>36.24</v>
      </c>
      <c r="C267" s="9">
        <v>35.17</v>
      </c>
      <c r="D267" s="16">
        <f>(C267-B267)/B267</f>
        <v>-2.9525386313465789E-2</v>
      </c>
      <c r="E267" s="9">
        <v>35.17</v>
      </c>
      <c r="F267" s="16">
        <f>(C267-E267)/E267</f>
        <v>0</v>
      </c>
      <c r="G267" s="40"/>
      <c r="J267" s="9">
        <v>21.28</v>
      </c>
      <c r="K267" s="9">
        <f t="shared" ref="K267:K328" si="30">J267*1.4</f>
        <v>29.791999999999998</v>
      </c>
      <c r="L267" s="16">
        <f>(C267-K267)/K267</f>
        <v>0.18051825993555332</v>
      </c>
    </row>
    <row r="268" spans="1:12" ht="12.75" customHeight="1">
      <c r="A268" s="1" t="s">
        <v>3877</v>
      </c>
      <c r="B268" s="7">
        <v>36.24</v>
      </c>
      <c r="C268" s="9">
        <v>35.17</v>
      </c>
      <c r="D268" s="16">
        <f>(C268-B268)/B268</f>
        <v>-2.9525386313465789E-2</v>
      </c>
      <c r="E268" s="9">
        <v>35.17</v>
      </c>
      <c r="F268" s="16">
        <f>(C268-E268)/E268</f>
        <v>0</v>
      </c>
      <c r="G268" s="40"/>
      <c r="J268" s="9">
        <v>21.28</v>
      </c>
      <c r="K268" s="9">
        <f t="shared" si="30"/>
        <v>29.791999999999998</v>
      </c>
      <c r="L268" s="16">
        <f t="shared" ref="L268:L269" si="31">(C268-K268)/K268</f>
        <v>0.18051825993555332</v>
      </c>
    </row>
    <row r="269" spans="1:12" ht="12.75" customHeight="1">
      <c r="A269" s="1" t="s">
        <v>3878</v>
      </c>
      <c r="B269" s="7">
        <v>36.24</v>
      </c>
      <c r="C269" s="9">
        <v>35.17</v>
      </c>
      <c r="D269" s="16">
        <f>(C269-B269)/B269</f>
        <v>-2.9525386313465789E-2</v>
      </c>
      <c r="E269" s="9">
        <v>35.17</v>
      </c>
      <c r="F269" s="16">
        <f>(C269-E269)/E269</f>
        <v>0</v>
      </c>
      <c r="G269" s="40"/>
      <c r="J269" s="9">
        <v>21.28</v>
      </c>
      <c r="K269" s="9">
        <f t="shared" si="30"/>
        <v>29.791999999999998</v>
      </c>
      <c r="L269" s="16">
        <f t="shared" si="31"/>
        <v>0.18051825993555332</v>
      </c>
    </row>
    <row r="270" spans="1:12">
      <c r="A270" s="1"/>
      <c r="B270" s="1"/>
      <c r="D270" s="16"/>
      <c r="E270" s="9"/>
      <c r="G270" s="40"/>
      <c r="J270" s="9"/>
      <c r="K270" s="9">
        <f t="shared" si="30"/>
        <v>0</v>
      </c>
      <c r="L270" s="16"/>
    </row>
    <row r="271" spans="1:12">
      <c r="A271" s="2" t="s">
        <v>3879</v>
      </c>
      <c r="B271" s="5" t="s">
        <v>3534</v>
      </c>
      <c r="C271" s="44"/>
      <c r="D271" s="43"/>
      <c r="E271" s="44"/>
      <c r="F271" s="8"/>
      <c r="G271" s="23" t="s">
        <v>3983</v>
      </c>
      <c r="H271" s="43">
        <f>AVERAGE(F273:F274)</f>
        <v>8.1969792322215185E-2</v>
      </c>
      <c r="I271" s="8"/>
      <c r="J271" s="44"/>
      <c r="K271" s="9">
        <f t="shared" si="30"/>
        <v>0</v>
      </c>
      <c r="L271" s="43"/>
    </row>
    <row r="272" spans="1:12">
      <c r="A272" s="1" t="s">
        <v>3880</v>
      </c>
      <c r="B272" s="5"/>
      <c r="D272" s="16"/>
      <c r="E272" s="9"/>
      <c r="G272" s="40"/>
      <c r="J272" s="9"/>
      <c r="K272" s="9">
        <f t="shared" si="30"/>
        <v>0</v>
      </c>
      <c r="L272" s="16"/>
    </row>
    <row r="273" spans="1:12" ht="12.75" customHeight="1">
      <c r="A273" s="1" t="s">
        <v>3881</v>
      </c>
      <c r="B273" s="7">
        <v>31.83</v>
      </c>
      <c r="C273" s="9">
        <v>31.91</v>
      </c>
      <c r="D273" s="16">
        <f>(C273-B273)/B273</f>
        <v>2.5133521834747674E-3</v>
      </c>
      <c r="E273" s="9">
        <v>31.78</v>
      </c>
      <c r="F273" s="16">
        <f>(C273-E273)/E273</f>
        <v>4.0906230333542792E-3</v>
      </c>
      <c r="G273" s="40"/>
      <c r="J273" s="9">
        <v>18.62</v>
      </c>
      <c r="K273" s="9">
        <f t="shared" si="30"/>
        <v>26.068000000000001</v>
      </c>
      <c r="L273" s="16">
        <f>(C273-K273)/K273</f>
        <v>0.22410618382691416</v>
      </c>
    </row>
    <row r="274" spans="1:12" ht="12.75" customHeight="1">
      <c r="A274" s="1" t="s">
        <v>3882</v>
      </c>
      <c r="B274" s="7">
        <v>36.25</v>
      </c>
      <c r="C274" s="9">
        <v>36.86</v>
      </c>
      <c r="D274" s="16">
        <f>(C274-B274)/B274</f>
        <v>1.6827586206896537E-2</v>
      </c>
      <c r="E274" s="9">
        <v>31.78</v>
      </c>
      <c r="F274" s="16">
        <f>(C274-E274)/E274</f>
        <v>0.15984896161107609</v>
      </c>
      <c r="G274" s="40"/>
      <c r="J274" s="9">
        <v>18.62</v>
      </c>
      <c r="K274" s="9">
        <f t="shared" si="30"/>
        <v>26.068000000000001</v>
      </c>
      <c r="L274" s="16">
        <f>(C274-K274)/K274</f>
        <v>0.41399416909620984</v>
      </c>
    </row>
    <row r="275" spans="1:12">
      <c r="A275" s="1"/>
      <c r="B275" s="1"/>
      <c r="D275" s="16"/>
      <c r="E275" s="9"/>
      <c r="G275" s="40"/>
      <c r="J275" s="9"/>
      <c r="K275" s="9">
        <f t="shared" si="30"/>
        <v>0</v>
      </c>
      <c r="L275" s="16"/>
    </row>
    <row r="276" spans="1:12" ht="12.75" customHeight="1">
      <c r="A276" s="2" t="s">
        <v>3640</v>
      </c>
      <c r="B276" s="3" t="s">
        <v>3510</v>
      </c>
      <c r="C276" s="44"/>
      <c r="D276" s="43"/>
      <c r="E276" s="44"/>
      <c r="F276" s="8"/>
      <c r="G276" s="23" t="s">
        <v>3983</v>
      </c>
      <c r="H276" s="43">
        <f>AVERAGE(F277:F279)</f>
        <v>8.9778534923338982E-2</v>
      </c>
      <c r="I276" s="8"/>
      <c r="J276" s="44"/>
      <c r="K276" s="9">
        <f t="shared" si="30"/>
        <v>0</v>
      </c>
      <c r="L276" s="43"/>
    </row>
    <row r="277" spans="1:12" ht="12.75" customHeight="1">
      <c r="A277" s="1" t="s">
        <v>3641</v>
      </c>
      <c r="B277" s="7">
        <v>58.52</v>
      </c>
      <c r="C277" s="9">
        <v>59.52</v>
      </c>
      <c r="D277" s="16">
        <f>(C277-B277)/B277</f>
        <v>1.7088174982911822E-2</v>
      </c>
      <c r="E277" s="9">
        <v>58.7</v>
      </c>
      <c r="F277" s="16">
        <f>(C277-E277)/E277</f>
        <v>1.3969335604770022E-2</v>
      </c>
      <c r="G277" s="40"/>
      <c r="J277" s="9">
        <v>34.86</v>
      </c>
      <c r="K277" s="9">
        <f t="shared" si="30"/>
        <v>48.803999999999995</v>
      </c>
      <c r="L277" s="16">
        <f>(C277-K277)/K277</f>
        <v>0.21957216621588413</v>
      </c>
    </row>
    <row r="278" spans="1:12" ht="12.75" customHeight="1">
      <c r="A278" s="1" t="s">
        <v>3642</v>
      </c>
      <c r="B278" s="7">
        <v>62.95</v>
      </c>
      <c r="C278" s="9">
        <v>63.97</v>
      </c>
      <c r="D278" s="16">
        <f>(C278-B278)/B278</f>
        <v>1.6203335980937188E-2</v>
      </c>
      <c r="E278" s="9">
        <v>58.7</v>
      </c>
      <c r="F278" s="16">
        <f>(C278-E278)/E278</f>
        <v>8.977853492333894E-2</v>
      </c>
      <c r="G278" s="40"/>
      <c r="J278" s="9">
        <v>34.86</v>
      </c>
      <c r="K278" s="9">
        <f t="shared" si="30"/>
        <v>48.803999999999995</v>
      </c>
      <c r="L278" s="16">
        <f t="shared" ref="L278:L279" si="32">(C278-K278)/K278</f>
        <v>0.31075321694943048</v>
      </c>
    </row>
    <row r="279" spans="1:12" ht="12.75" customHeight="1">
      <c r="A279" s="1" t="s">
        <v>3643</v>
      </c>
      <c r="B279" s="7">
        <v>67.37</v>
      </c>
      <c r="C279" s="9">
        <v>68.42</v>
      </c>
      <c r="D279" s="16">
        <f>(C279-B279)/B279</f>
        <v>1.5585572213151211E-2</v>
      </c>
      <c r="E279" s="9">
        <v>58.7</v>
      </c>
      <c r="F279" s="16">
        <f>(C279-E279)/E279</f>
        <v>0.16558773424190798</v>
      </c>
      <c r="G279" s="40"/>
      <c r="J279" s="9">
        <v>34.86</v>
      </c>
      <c r="K279" s="9">
        <f t="shared" si="30"/>
        <v>48.803999999999995</v>
      </c>
      <c r="L279" s="16">
        <f t="shared" si="32"/>
        <v>0.40193426768297696</v>
      </c>
    </row>
    <row r="280" spans="1:12">
      <c r="A280" s="1"/>
      <c r="B280" s="1"/>
      <c r="D280" s="16"/>
      <c r="E280" s="9"/>
      <c r="G280" s="40"/>
      <c r="J280" s="9"/>
      <c r="K280" s="9">
        <f t="shared" si="30"/>
        <v>0</v>
      </c>
      <c r="L280" s="16"/>
    </row>
    <row r="281" spans="1:12">
      <c r="A281" s="2" t="s">
        <v>3644</v>
      </c>
      <c r="B281" s="1"/>
      <c r="C281" s="44"/>
      <c r="D281" s="43"/>
      <c r="E281" s="44"/>
      <c r="F281" s="8"/>
      <c r="G281" s="23" t="s">
        <v>3983</v>
      </c>
      <c r="H281" s="43">
        <f>AVERAGE(F282:F284)</f>
        <v>0.12652254320515263</v>
      </c>
      <c r="I281" s="8"/>
      <c r="J281" s="44"/>
      <c r="K281" s="9">
        <f t="shared" si="30"/>
        <v>0</v>
      </c>
      <c r="L281" s="43"/>
    </row>
    <row r="282" spans="1:12" ht="12.75" customHeight="1">
      <c r="A282" s="1" t="s">
        <v>3645</v>
      </c>
      <c r="B282" s="7">
        <v>55.15</v>
      </c>
      <c r="C282" s="9">
        <v>56.3</v>
      </c>
      <c r="D282" s="16">
        <f>(C282-B282)/B282</f>
        <v>2.0852221214868516E-2</v>
      </c>
      <c r="E282" s="9">
        <v>52.27</v>
      </c>
      <c r="F282" s="16">
        <f>(C282-E282)/E282</f>
        <v>7.7099674765639822E-2</v>
      </c>
      <c r="G282" s="40"/>
      <c r="J282" s="9"/>
      <c r="K282" s="9">
        <f t="shared" si="30"/>
        <v>0</v>
      </c>
      <c r="L282" s="16"/>
    </row>
    <row r="283" spans="1:12" ht="12.75" customHeight="1">
      <c r="A283" s="1" t="s">
        <v>3646</v>
      </c>
      <c r="B283" s="7">
        <v>57.9</v>
      </c>
      <c r="C283" s="9">
        <v>59.05</v>
      </c>
      <c r="D283" s="16">
        <f>(C283-B283)/B283</f>
        <v>1.9861830742659733E-2</v>
      </c>
      <c r="E283" s="9">
        <v>52.27</v>
      </c>
      <c r="F283" s="16">
        <f>(C283-E283)/E283</f>
        <v>0.12971111536254054</v>
      </c>
      <c r="G283" s="40"/>
      <c r="J283" s="9"/>
      <c r="K283" s="9">
        <f t="shared" si="30"/>
        <v>0</v>
      </c>
      <c r="L283" s="16"/>
    </row>
    <row r="284" spans="1:12" ht="12.75" customHeight="1">
      <c r="A284" s="1" t="s">
        <v>3647</v>
      </c>
      <c r="B284" s="7">
        <v>60.15</v>
      </c>
      <c r="C284" s="9">
        <v>61.3</v>
      </c>
      <c r="D284" s="16">
        <f>(C284-B284)/B284</f>
        <v>1.9118869492934308E-2</v>
      </c>
      <c r="E284" s="9">
        <v>52.27</v>
      </c>
      <c r="F284" s="16">
        <f>(C284-E284)/E284</f>
        <v>0.17275683948727746</v>
      </c>
      <c r="G284" s="40"/>
      <c r="J284" s="9"/>
      <c r="K284" s="9">
        <f t="shared" si="30"/>
        <v>0</v>
      </c>
      <c r="L284" s="16"/>
    </row>
    <row r="285" spans="1:12">
      <c r="A285" s="1"/>
      <c r="B285" s="1"/>
      <c r="D285" s="16"/>
      <c r="E285" s="9"/>
      <c r="G285" s="40"/>
      <c r="J285" s="9"/>
      <c r="K285" s="9">
        <f t="shared" si="30"/>
        <v>0</v>
      </c>
      <c r="L285" s="16"/>
    </row>
    <row r="286" spans="1:12">
      <c r="A286" s="143"/>
      <c r="B286" s="143"/>
      <c r="D286" s="16"/>
      <c r="E286" s="9"/>
      <c r="G286" s="40"/>
      <c r="J286" s="9"/>
      <c r="K286" s="9">
        <f t="shared" si="30"/>
        <v>0</v>
      </c>
      <c r="L286" s="16"/>
    </row>
    <row r="287" spans="1:12">
      <c r="A287" s="2" t="s">
        <v>3651</v>
      </c>
      <c r="B287" s="1"/>
      <c r="C287" s="44"/>
      <c r="D287" s="43"/>
      <c r="E287" s="44"/>
      <c r="F287" s="8"/>
      <c r="G287" s="23" t="s">
        <v>3983</v>
      </c>
      <c r="H287" s="43">
        <f>AVERAGE(F288)</f>
        <v>-1.499472016895461E-2</v>
      </c>
      <c r="I287" s="8"/>
      <c r="J287" s="44"/>
      <c r="K287" s="9">
        <f t="shared" si="30"/>
        <v>0</v>
      </c>
      <c r="L287" s="43"/>
    </row>
    <row r="288" spans="1:12" ht="12.75" customHeight="1">
      <c r="A288" s="1" t="s">
        <v>3652</v>
      </c>
      <c r="B288" s="42">
        <v>46.23</v>
      </c>
      <c r="C288" s="9">
        <v>46.64</v>
      </c>
      <c r="D288" s="16">
        <f>(C288-B288)/B288</f>
        <v>8.8686999783691052E-3</v>
      </c>
      <c r="E288" s="9">
        <v>47.35</v>
      </c>
      <c r="F288" s="16">
        <f>(C288-E288)/E288</f>
        <v>-1.499472016895461E-2</v>
      </c>
      <c r="G288" s="40"/>
      <c r="J288" s="9">
        <v>21.03</v>
      </c>
      <c r="K288" s="9">
        <f t="shared" si="30"/>
        <v>29.442</v>
      </c>
      <c r="L288" s="16">
        <f>(C288-K288)/K288</f>
        <v>0.58413151280483666</v>
      </c>
    </row>
    <row r="289" spans="1:12">
      <c r="A289" s="1"/>
      <c r="B289" s="1"/>
      <c r="D289" s="16"/>
      <c r="E289" s="9"/>
      <c r="G289" s="40"/>
      <c r="J289" s="9"/>
      <c r="K289" s="9">
        <f t="shared" si="30"/>
        <v>0</v>
      </c>
      <c r="L289" s="16"/>
    </row>
    <row r="290" spans="1:12" ht="25.5" customHeight="1">
      <c r="A290" s="2" t="s">
        <v>3883</v>
      </c>
      <c r="B290" s="3" t="s">
        <v>3510</v>
      </c>
      <c r="C290" s="44"/>
      <c r="D290" s="43"/>
      <c r="E290" s="44"/>
      <c r="F290" s="8"/>
      <c r="G290" s="23" t="s">
        <v>3983</v>
      </c>
      <c r="H290" s="43">
        <f>AVERAGE(F291:F293)</f>
        <v>7.9584710038076309E-2</v>
      </c>
      <c r="I290" s="8"/>
      <c r="J290" s="44"/>
      <c r="K290" s="9">
        <f t="shared" si="30"/>
        <v>0</v>
      </c>
      <c r="L290" s="43"/>
    </row>
    <row r="291" spans="1:12" ht="12.75" customHeight="1">
      <c r="A291" s="1" t="s">
        <v>3884</v>
      </c>
      <c r="B291" s="42">
        <v>32.479999999999997</v>
      </c>
      <c r="C291" s="9">
        <v>34.630000000000003</v>
      </c>
      <c r="D291" s="16">
        <f>(C291-B291)/B291</f>
        <v>6.6194581280788353E-2</v>
      </c>
      <c r="E291" s="9">
        <v>36.35</v>
      </c>
      <c r="F291" s="16">
        <f>(C291-E291)/E291</f>
        <v>-4.7317744154057741E-2</v>
      </c>
      <c r="G291" s="40"/>
      <c r="J291" s="9">
        <v>23.56</v>
      </c>
      <c r="K291" s="9">
        <f t="shared" si="30"/>
        <v>32.983999999999995</v>
      </c>
      <c r="L291" s="16">
        <f>(C291-K291)/K291</f>
        <v>4.9902983264613392E-2</v>
      </c>
    </row>
    <row r="292" spans="1:12" ht="12.75" customHeight="1">
      <c r="A292" s="1" t="s">
        <v>3885</v>
      </c>
      <c r="B292" s="42">
        <v>43.61</v>
      </c>
      <c r="C292" s="9">
        <v>46.66</v>
      </c>
      <c r="D292" s="16">
        <f>(C292-B292)/B292</f>
        <v>6.9938087594588333E-2</v>
      </c>
      <c r="E292" s="9">
        <v>36.35</v>
      </c>
      <c r="F292" s="16">
        <f>(C292-E292)/E292</f>
        <v>0.28363136176066012</v>
      </c>
      <c r="G292" s="40"/>
      <c r="J292" s="9">
        <v>20.420000000000002</v>
      </c>
      <c r="K292" s="9">
        <f t="shared" si="30"/>
        <v>28.588000000000001</v>
      </c>
      <c r="L292" s="16">
        <f t="shared" ref="L292:L293" si="33">(C292-K292)/K292</f>
        <v>0.63215335105638715</v>
      </c>
    </row>
    <row r="293" spans="1:12" ht="12.75" customHeight="1">
      <c r="A293" s="1" t="s">
        <v>3886</v>
      </c>
      <c r="B293" s="42">
        <v>46.04</v>
      </c>
      <c r="C293" s="9">
        <v>49.29</v>
      </c>
      <c r="D293" s="16">
        <f>(C293-B293)/B293</f>
        <v>7.0590790616854915E-2</v>
      </c>
      <c r="E293" s="9">
        <v>49.17</v>
      </c>
      <c r="F293" s="16">
        <f>(C293-E293)/E293</f>
        <v>2.4405125076265495E-3</v>
      </c>
      <c r="G293" s="40"/>
      <c r="J293" s="9">
        <v>23.56</v>
      </c>
      <c r="K293" s="9">
        <f t="shared" si="30"/>
        <v>32.983999999999995</v>
      </c>
      <c r="L293" s="16">
        <f t="shared" si="33"/>
        <v>0.49436090225563933</v>
      </c>
    </row>
    <row r="294" spans="1:12">
      <c r="A294" s="1"/>
      <c r="B294" s="1"/>
      <c r="D294" s="16"/>
      <c r="E294" s="9"/>
      <c r="G294" s="40"/>
      <c r="J294" s="9"/>
      <c r="K294" s="9">
        <f t="shared" si="30"/>
        <v>0</v>
      </c>
      <c r="L294" s="16"/>
    </row>
    <row r="295" spans="1:12">
      <c r="A295" s="1"/>
      <c r="B295" s="1"/>
      <c r="D295" s="16"/>
      <c r="E295" s="9"/>
      <c r="G295" s="40"/>
      <c r="J295" s="9"/>
      <c r="K295" s="9">
        <f t="shared" si="30"/>
        <v>0</v>
      </c>
      <c r="L295" s="16"/>
    </row>
    <row r="296" spans="1:12" ht="12.75" customHeight="1">
      <c r="A296" s="2" t="s">
        <v>3662</v>
      </c>
      <c r="B296" s="3" t="s">
        <v>3887</v>
      </c>
      <c r="C296" s="44"/>
      <c r="D296" s="43"/>
      <c r="E296" s="44"/>
      <c r="F296" s="8"/>
      <c r="G296" s="23"/>
      <c r="H296" s="8"/>
      <c r="I296" s="8"/>
      <c r="J296" s="44"/>
      <c r="K296" s="9">
        <f t="shared" si="30"/>
        <v>0</v>
      </c>
      <c r="L296" s="43"/>
    </row>
    <row r="297" spans="1:12" ht="12.75" customHeight="1">
      <c r="A297" s="1" t="s">
        <v>3663</v>
      </c>
      <c r="B297" s="42">
        <v>42.94</v>
      </c>
      <c r="C297" s="9">
        <v>42.94</v>
      </c>
      <c r="D297" s="16">
        <f>(C297-B297)/B297</f>
        <v>0</v>
      </c>
      <c r="E297" s="9"/>
      <c r="G297" s="40"/>
      <c r="J297" s="9"/>
      <c r="K297" s="9">
        <f t="shared" si="30"/>
        <v>0</v>
      </c>
      <c r="L297" s="16"/>
    </row>
    <row r="298" spans="1:12">
      <c r="A298" s="143"/>
      <c r="B298" s="143"/>
      <c r="D298" s="16"/>
      <c r="E298" s="9"/>
      <c r="G298" s="40"/>
      <c r="J298" s="9"/>
      <c r="K298" s="9">
        <f t="shared" si="30"/>
        <v>0</v>
      </c>
      <c r="L298" s="16"/>
    </row>
    <row r="299" spans="1:12" ht="12.75" customHeight="1">
      <c r="A299" s="144" t="s">
        <v>3664</v>
      </c>
      <c r="B299" s="144"/>
      <c r="C299" s="44"/>
      <c r="D299" s="43"/>
      <c r="E299" s="44"/>
      <c r="F299" s="8"/>
      <c r="G299" s="23" t="s">
        <v>3983</v>
      </c>
      <c r="H299" s="43">
        <f>AVERAGE(F301:F307)</f>
        <v>-6.8244588507783907E-3</v>
      </c>
      <c r="I299" s="8"/>
      <c r="J299" s="44"/>
      <c r="K299" s="9">
        <f t="shared" si="30"/>
        <v>0</v>
      </c>
      <c r="L299" s="43"/>
    </row>
    <row r="300" spans="1:12" ht="12.75" customHeight="1">
      <c r="A300" s="3" t="s">
        <v>3569</v>
      </c>
      <c r="B300" s="3" t="s">
        <v>3510</v>
      </c>
      <c r="D300" s="16"/>
      <c r="E300" s="9"/>
      <c r="G300" s="40"/>
      <c r="J300" s="9"/>
      <c r="K300" s="9">
        <f t="shared" si="30"/>
        <v>0</v>
      </c>
      <c r="L300" s="16"/>
    </row>
    <row r="301" spans="1:12" ht="12.75" customHeight="1">
      <c r="A301" s="1" t="s">
        <v>3573</v>
      </c>
      <c r="B301" s="42">
        <v>46.13</v>
      </c>
      <c r="C301" s="9">
        <v>46.13</v>
      </c>
      <c r="D301" s="16">
        <f t="shared" ref="D301:D307" si="34">(C301-B301)/B301</f>
        <v>0</v>
      </c>
      <c r="E301" s="9">
        <v>46.96</v>
      </c>
      <c r="F301" s="16">
        <f t="shared" ref="F301:F307" si="35">(C301-E301)/E301</f>
        <v>-1.7674616695059587E-2</v>
      </c>
      <c r="G301" s="40"/>
      <c r="J301" s="9">
        <v>22.45</v>
      </c>
      <c r="K301" s="9">
        <f t="shared" si="30"/>
        <v>31.429999999999996</v>
      </c>
      <c r="L301" s="16">
        <f>(C301-K301)/K301</f>
        <v>0.46770601336302919</v>
      </c>
    </row>
    <row r="302" spans="1:12" ht="12.75" customHeight="1">
      <c r="A302" s="1" t="s">
        <v>3575</v>
      </c>
      <c r="B302" s="42">
        <v>46.23</v>
      </c>
      <c r="C302" s="9">
        <v>46.23</v>
      </c>
      <c r="D302" s="16">
        <f t="shared" si="34"/>
        <v>0</v>
      </c>
      <c r="E302" s="9">
        <v>46.96</v>
      </c>
      <c r="F302" s="16">
        <f t="shared" si="35"/>
        <v>-1.5545144804088671E-2</v>
      </c>
      <c r="G302" s="40"/>
      <c r="J302" s="9">
        <v>22.45</v>
      </c>
      <c r="K302" s="9">
        <f t="shared" si="30"/>
        <v>31.429999999999996</v>
      </c>
      <c r="L302" s="16">
        <f t="shared" ref="L302:L307" si="36">(C302-K302)/K302</f>
        <v>0.47088768692332172</v>
      </c>
    </row>
    <row r="303" spans="1:12" ht="12.75" customHeight="1">
      <c r="A303" s="1" t="s">
        <v>3576</v>
      </c>
      <c r="B303" s="42">
        <v>46.44</v>
      </c>
      <c r="C303" s="9">
        <v>46.44</v>
      </c>
      <c r="D303" s="16">
        <f t="shared" si="34"/>
        <v>0</v>
      </c>
      <c r="E303" s="9">
        <v>46.96</v>
      </c>
      <c r="F303" s="16">
        <f t="shared" si="35"/>
        <v>-1.107325383304947E-2</v>
      </c>
      <c r="G303" s="40"/>
      <c r="J303" s="9">
        <v>22.45</v>
      </c>
      <c r="K303" s="9">
        <f t="shared" si="30"/>
        <v>31.429999999999996</v>
      </c>
      <c r="L303" s="16">
        <f t="shared" si="36"/>
        <v>0.47756920139993647</v>
      </c>
    </row>
    <row r="304" spans="1:12" ht="12.75" customHeight="1">
      <c r="A304" s="1" t="s">
        <v>3577</v>
      </c>
      <c r="B304" s="42">
        <v>46.62</v>
      </c>
      <c r="C304" s="9">
        <v>46.62</v>
      </c>
      <c r="D304" s="16">
        <f t="shared" si="34"/>
        <v>0</v>
      </c>
      <c r="E304" s="9">
        <v>46.96</v>
      </c>
      <c r="F304" s="16">
        <f t="shared" si="35"/>
        <v>-7.2402044293016056E-3</v>
      </c>
      <c r="G304" s="40"/>
      <c r="J304" s="9">
        <v>22.45</v>
      </c>
      <c r="K304" s="9">
        <f t="shared" si="30"/>
        <v>31.429999999999996</v>
      </c>
      <c r="L304" s="16">
        <f t="shared" si="36"/>
        <v>0.48329621380846333</v>
      </c>
    </row>
    <row r="305" spans="1:12" ht="12.75" customHeight="1">
      <c r="A305" s="1" t="s">
        <v>3579</v>
      </c>
      <c r="B305" s="42">
        <v>46.82</v>
      </c>
      <c r="C305" s="9">
        <v>46.82</v>
      </c>
      <c r="D305" s="16">
        <f t="shared" si="34"/>
        <v>0</v>
      </c>
      <c r="E305" s="9">
        <v>46.96</v>
      </c>
      <c r="F305" s="16">
        <f t="shared" si="35"/>
        <v>-2.9812606473594667E-3</v>
      </c>
      <c r="G305" s="40"/>
      <c r="J305" s="9">
        <v>22.45</v>
      </c>
      <c r="K305" s="9">
        <f t="shared" si="30"/>
        <v>31.429999999999996</v>
      </c>
      <c r="L305" s="16">
        <f t="shared" si="36"/>
        <v>0.48965956092904889</v>
      </c>
    </row>
    <row r="306" spans="1:12" ht="12.75" customHeight="1">
      <c r="A306" s="1" t="s">
        <v>3580</v>
      </c>
      <c r="B306" s="42">
        <v>47.12</v>
      </c>
      <c r="C306" s="9">
        <v>47.12</v>
      </c>
      <c r="D306" s="16">
        <f t="shared" si="34"/>
        <v>0</v>
      </c>
      <c r="E306" s="9">
        <v>46.96</v>
      </c>
      <c r="F306" s="16">
        <f t="shared" si="35"/>
        <v>3.4071550255535899E-3</v>
      </c>
      <c r="G306" s="40"/>
      <c r="J306" s="9">
        <v>22.45</v>
      </c>
      <c r="K306" s="9">
        <f t="shared" si="30"/>
        <v>31.429999999999996</v>
      </c>
      <c r="L306" s="16">
        <f t="shared" si="36"/>
        <v>0.49920458160992692</v>
      </c>
    </row>
    <row r="307" spans="1:12" ht="25.5">
      <c r="A307" s="1" t="s">
        <v>3888</v>
      </c>
      <c r="B307" s="42">
        <v>48.12</v>
      </c>
      <c r="C307" s="9">
        <v>48.12</v>
      </c>
      <c r="D307" s="16">
        <f t="shared" si="34"/>
        <v>0</v>
      </c>
      <c r="E307" s="9">
        <v>47.96</v>
      </c>
      <c r="F307" s="16">
        <f t="shared" si="35"/>
        <v>3.3361134278564759E-3</v>
      </c>
      <c r="G307" s="40"/>
      <c r="J307" s="9">
        <v>23.45</v>
      </c>
      <c r="K307" s="9">
        <f t="shared" si="30"/>
        <v>32.83</v>
      </c>
      <c r="L307" s="16">
        <f t="shared" si="36"/>
        <v>0.46573256168138899</v>
      </c>
    </row>
    <row r="308" spans="1:12">
      <c r="A308" s="1"/>
      <c r="B308" s="1"/>
      <c r="D308" s="16"/>
      <c r="E308" s="9"/>
      <c r="G308" s="40"/>
      <c r="J308" s="9"/>
      <c r="K308" s="9">
        <f t="shared" si="30"/>
        <v>0</v>
      </c>
      <c r="L308" s="16"/>
    </row>
    <row r="309" spans="1:12" ht="25.5" customHeight="1">
      <c r="A309" s="2" t="s">
        <v>3889</v>
      </c>
      <c r="B309" s="3" t="s">
        <v>3890</v>
      </c>
      <c r="C309" s="17" t="s">
        <v>3492</v>
      </c>
      <c r="D309" s="43"/>
      <c r="E309" s="44"/>
      <c r="F309" s="8"/>
      <c r="G309" s="23" t="s">
        <v>3984</v>
      </c>
      <c r="H309" s="8"/>
      <c r="I309" s="43">
        <f>AVERAGE(F311:F317)</f>
        <v>1.5231554851206171E-2</v>
      </c>
      <c r="J309" s="44"/>
      <c r="K309" s="9">
        <f t="shared" si="30"/>
        <v>0</v>
      </c>
      <c r="L309" s="43"/>
    </row>
    <row r="310" spans="1:12" ht="12.75" customHeight="1">
      <c r="A310" s="1" t="s">
        <v>3667</v>
      </c>
      <c r="B310" s="42">
        <v>56.87</v>
      </c>
      <c r="C310" s="9">
        <v>19.420000000000002</v>
      </c>
      <c r="D310" s="16">
        <f>(C310-B310)/B310</f>
        <v>-0.65851943027958493</v>
      </c>
      <c r="E310" s="9">
        <v>19.420000000000002</v>
      </c>
      <c r="F310" s="16">
        <f>(C310-E310)/E310</f>
        <v>0</v>
      </c>
      <c r="G310" s="40"/>
      <c r="J310" s="9"/>
      <c r="K310" s="9">
        <f t="shared" si="30"/>
        <v>0</v>
      </c>
      <c r="L310" s="16"/>
    </row>
    <row r="311" spans="1:12">
      <c r="A311" s="1"/>
      <c r="B311" s="1"/>
      <c r="D311" s="16"/>
      <c r="E311" s="9"/>
      <c r="G311" s="40"/>
      <c r="J311" s="9"/>
      <c r="K311" s="9">
        <f t="shared" si="30"/>
        <v>0</v>
      </c>
      <c r="L311" s="16"/>
    </row>
    <row r="312" spans="1:12">
      <c r="A312" s="17" t="s">
        <v>3493</v>
      </c>
      <c r="B312" s="1"/>
      <c r="C312" s="44"/>
      <c r="D312" s="43"/>
      <c r="E312" s="44"/>
      <c r="F312" s="8"/>
      <c r="G312" s="23" t="s">
        <v>3983</v>
      </c>
      <c r="H312" s="43">
        <f>AVERAGE(F314:F320)</f>
        <v>2.6060926219404812E-2</v>
      </c>
      <c r="I312" s="8"/>
      <c r="J312" s="44"/>
      <c r="K312" s="9">
        <f t="shared" si="30"/>
        <v>0</v>
      </c>
      <c r="L312" s="43"/>
    </row>
    <row r="313" spans="1:12" ht="25.5" customHeight="1">
      <c r="A313" s="2" t="s">
        <v>3891</v>
      </c>
      <c r="B313" s="3" t="s">
        <v>3890</v>
      </c>
      <c r="D313" s="16"/>
      <c r="E313" s="9"/>
      <c r="J313" s="9"/>
      <c r="K313" s="9">
        <f t="shared" si="30"/>
        <v>0</v>
      </c>
      <c r="L313" s="16"/>
    </row>
    <row r="314" spans="1:12" ht="12.75" customHeight="1">
      <c r="A314" s="1" t="s">
        <v>3892</v>
      </c>
      <c r="B314" s="42">
        <v>55.16</v>
      </c>
      <c r="C314" s="9">
        <v>56.91</v>
      </c>
      <c r="D314" s="16">
        <f>(C314-B314)/B314</f>
        <v>3.1725888324873101E-2</v>
      </c>
      <c r="E314" s="9">
        <v>56.79</v>
      </c>
      <c r="F314" s="16">
        <f>(C314-E314)/E314</f>
        <v>2.1130480718435894E-3</v>
      </c>
      <c r="G314" s="40"/>
      <c r="J314" s="9"/>
      <c r="K314" s="9">
        <f t="shared" si="30"/>
        <v>0</v>
      </c>
      <c r="L314" s="16"/>
    </row>
    <row r="315" spans="1:12">
      <c r="A315" s="1"/>
      <c r="B315" s="1"/>
      <c r="D315" s="16"/>
      <c r="E315" s="9"/>
      <c r="G315" s="40"/>
      <c r="J315" s="9"/>
      <c r="K315" s="9">
        <f t="shared" si="30"/>
        <v>0</v>
      </c>
      <c r="L315" s="16"/>
    </row>
    <row r="316" spans="1:12" ht="25.5" customHeight="1">
      <c r="A316" s="2" t="s">
        <v>3893</v>
      </c>
      <c r="B316" s="3" t="s">
        <v>3890</v>
      </c>
      <c r="D316" s="16"/>
      <c r="E316" s="9"/>
      <c r="G316" s="40"/>
      <c r="J316" s="9"/>
      <c r="K316" s="9">
        <f t="shared" si="30"/>
        <v>0</v>
      </c>
      <c r="L316" s="16"/>
    </row>
    <row r="317" spans="1:12" ht="12.75" customHeight="1">
      <c r="A317" s="1" t="s">
        <v>3894</v>
      </c>
      <c r="B317" s="42">
        <v>56.65</v>
      </c>
      <c r="C317" s="9">
        <v>58.4</v>
      </c>
      <c r="D317" s="16">
        <f>(C317-B317)/B317</f>
        <v>3.089143865842895E-2</v>
      </c>
      <c r="E317" s="9">
        <v>56.79</v>
      </c>
      <c r="F317" s="16">
        <f>(C317-E317)/E317</f>
        <v>2.8350061630568753E-2</v>
      </c>
      <c r="G317" s="40"/>
      <c r="J317" s="9"/>
      <c r="K317" s="9">
        <f t="shared" si="30"/>
        <v>0</v>
      </c>
      <c r="L317" s="16"/>
    </row>
    <row r="318" spans="1:12">
      <c r="A318" s="1"/>
      <c r="B318" s="1"/>
      <c r="D318" s="16"/>
      <c r="E318" s="9"/>
      <c r="G318" s="40"/>
      <c r="J318" s="9"/>
      <c r="K318" s="9">
        <f t="shared" si="30"/>
        <v>0</v>
      </c>
      <c r="L318" s="16"/>
    </row>
    <row r="319" spans="1:12" ht="25.5" customHeight="1">
      <c r="A319" s="2" t="s">
        <v>3895</v>
      </c>
      <c r="B319" s="3" t="s">
        <v>3890</v>
      </c>
      <c r="D319" s="16"/>
      <c r="E319" s="9"/>
      <c r="G319" s="40"/>
      <c r="J319" s="9"/>
      <c r="K319" s="9">
        <f t="shared" si="30"/>
        <v>0</v>
      </c>
      <c r="L319" s="16"/>
    </row>
    <row r="320" spans="1:12" ht="12.75" customHeight="1">
      <c r="A320" s="1" t="s">
        <v>3896</v>
      </c>
      <c r="B320" s="42">
        <v>57.75</v>
      </c>
      <c r="C320" s="9">
        <v>59.5</v>
      </c>
      <c r="D320" s="16">
        <f>(C320-B320)/B320</f>
        <v>3.0303030303030304E-2</v>
      </c>
      <c r="E320" s="9">
        <v>56.79</v>
      </c>
      <c r="F320" s="16">
        <f>(C320-E320)/E320</f>
        <v>4.7719668955802097E-2</v>
      </c>
      <c r="G320" s="40"/>
      <c r="J320" s="9"/>
      <c r="K320" s="9">
        <f t="shared" si="30"/>
        <v>0</v>
      </c>
      <c r="L320" s="16"/>
    </row>
    <row r="321" spans="1:12">
      <c r="A321" s="1"/>
      <c r="B321" s="1"/>
      <c r="D321" s="16"/>
      <c r="E321" s="9"/>
      <c r="G321" s="40"/>
      <c r="J321" s="9"/>
      <c r="K321" s="9">
        <f t="shared" si="30"/>
        <v>0</v>
      </c>
      <c r="L321" s="16"/>
    </row>
    <row r="322" spans="1:12" ht="25.5" customHeight="1">
      <c r="A322" s="2" t="s">
        <v>3897</v>
      </c>
      <c r="B322" s="3" t="s">
        <v>3890</v>
      </c>
      <c r="D322" s="16"/>
      <c r="E322" s="9"/>
      <c r="G322" s="40"/>
      <c r="J322" s="9"/>
      <c r="K322" s="9">
        <f t="shared" si="30"/>
        <v>0</v>
      </c>
      <c r="L322" s="16"/>
    </row>
    <row r="323" spans="1:12" ht="12.75" customHeight="1">
      <c r="A323" s="1" t="s">
        <v>3898</v>
      </c>
      <c r="B323" s="42">
        <v>57.37</v>
      </c>
      <c r="C323" s="9">
        <v>59.12</v>
      </c>
      <c r="D323" s="16">
        <f>(C323-B323)/B323</f>
        <v>3.0503747603276975E-2</v>
      </c>
      <c r="E323" s="9">
        <v>56.79</v>
      </c>
      <c r="F323" s="16">
        <f>(C323-E323)/E323</f>
        <v>4.1028350061630539E-2</v>
      </c>
      <c r="G323" s="40"/>
      <c r="J323" s="9"/>
      <c r="K323" s="9">
        <f t="shared" si="30"/>
        <v>0</v>
      </c>
      <c r="L323" s="16"/>
    </row>
    <row r="324" spans="1:12">
      <c r="A324" s="1"/>
      <c r="B324" s="1"/>
      <c r="D324" s="16"/>
      <c r="E324" s="9"/>
      <c r="G324" s="40"/>
      <c r="J324" s="9"/>
      <c r="K324" s="9">
        <f t="shared" si="30"/>
        <v>0</v>
      </c>
      <c r="L324" s="16"/>
    </row>
    <row r="325" spans="1:12" ht="25.5" customHeight="1">
      <c r="A325" s="2" t="s">
        <v>3899</v>
      </c>
      <c r="B325" s="3" t="s">
        <v>3890</v>
      </c>
      <c r="C325" s="44"/>
      <c r="D325" s="43"/>
      <c r="E325" s="44"/>
      <c r="F325" s="8"/>
      <c r="G325" s="23" t="s">
        <v>3983</v>
      </c>
      <c r="H325" s="43">
        <f>AVERAGE(F326)</f>
        <v>0.28945570485083127</v>
      </c>
      <c r="I325" s="8"/>
      <c r="J325" s="44"/>
      <c r="K325" s="9">
        <f t="shared" si="30"/>
        <v>0</v>
      </c>
      <c r="L325" s="43"/>
    </row>
    <row r="326" spans="1:12" ht="12.75" customHeight="1">
      <c r="A326" s="1" t="s">
        <v>3900</v>
      </c>
      <c r="B326" s="42">
        <v>54.87</v>
      </c>
      <c r="C326" s="9">
        <v>56.62</v>
      </c>
      <c r="D326" s="16">
        <f>(C326-B326)/B326</f>
        <v>3.1893566611991983E-2</v>
      </c>
      <c r="E326" s="9">
        <v>43.91</v>
      </c>
      <c r="F326" s="16">
        <f>(C326-E326)/E326</f>
        <v>0.28945570485083127</v>
      </c>
      <c r="G326" s="40"/>
      <c r="J326" s="9"/>
      <c r="K326" s="9">
        <f t="shared" si="30"/>
        <v>0</v>
      </c>
      <c r="L326" s="16"/>
    </row>
    <row r="327" spans="1:12">
      <c r="A327" s="1"/>
      <c r="B327" s="1"/>
      <c r="D327" s="16"/>
      <c r="E327" s="9"/>
      <c r="G327" s="40"/>
      <c r="J327" s="9"/>
      <c r="K327" s="9">
        <f t="shared" si="30"/>
        <v>0</v>
      </c>
      <c r="L327" s="16"/>
    </row>
    <row r="328" spans="1:12" ht="25.5" customHeight="1">
      <c r="A328" s="2" t="s">
        <v>3901</v>
      </c>
      <c r="B328" s="3" t="s">
        <v>3890</v>
      </c>
      <c r="D328" s="16"/>
      <c r="E328" s="9"/>
      <c r="G328" s="40"/>
      <c r="J328" s="9"/>
      <c r="K328" s="9">
        <f t="shared" si="30"/>
        <v>0</v>
      </c>
      <c r="L328" s="16"/>
    </row>
    <row r="329" spans="1:12" ht="12.75" customHeight="1">
      <c r="A329" s="1" t="s">
        <v>3902</v>
      </c>
      <c r="B329" s="42">
        <v>54.87</v>
      </c>
      <c r="C329" s="9">
        <v>56.62</v>
      </c>
      <c r="D329" s="16">
        <f>(C329-B329)/B329</f>
        <v>3.1893566611991983E-2</v>
      </c>
      <c r="E329" s="9">
        <v>43.91</v>
      </c>
      <c r="F329" s="16">
        <f>(C329-E329)/E329</f>
        <v>0.28945570485083127</v>
      </c>
      <c r="G329" s="40"/>
      <c r="H329" s="16">
        <f>AVERAGE(F329)</f>
        <v>0.28945570485083127</v>
      </c>
      <c r="J329" s="9"/>
      <c r="K329" s="9"/>
      <c r="L329" s="16"/>
    </row>
    <row r="331" spans="1:12">
      <c r="A331" s="8" t="s">
        <v>3988</v>
      </c>
      <c r="B331" s="7"/>
      <c r="C331" s="16"/>
      <c r="D331" s="40"/>
    </row>
    <row r="332" spans="1:12">
      <c r="A332" s="1" t="s">
        <v>3986</v>
      </c>
      <c r="C332" s="16"/>
      <c r="F332" s="40">
        <f>COUNTIF(G4:G329,"Y")</f>
        <v>34</v>
      </c>
    </row>
    <row r="333" spans="1:12">
      <c r="A333" s="1" t="s">
        <v>3987</v>
      </c>
      <c r="B333" s="7"/>
      <c r="C333" s="16"/>
      <c r="F333" s="41">
        <f>COUNTIF(G4:G330,"N")</f>
        <v>4</v>
      </c>
    </row>
    <row r="334" spans="1:12">
      <c r="A334" s="8" t="s">
        <v>3985</v>
      </c>
      <c r="C334" s="16"/>
      <c r="F334" s="23">
        <f>SUM(F332:F333)</f>
        <v>38</v>
      </c>
    </row>
  </sheetData>
  <mergeCells count="28">
    <mergeCell ref="A215:B215"/>
    <mergeCell ref="A299:B299"/>
    <mergeCell ref="A298:B298"/>
    <mergeCell ref="A286:B286"/>
    <mergeCell ref="A255:B255"/>
    <mergeCell ref="A247:B247"/>
    <mergeCell ref="A248:B248"/>
    <mergeCell ref="A230:B230"/>
    <mergeCell ref="A231:B231"/>
    <mergeCell ref="A232:B232"/>
    <mergeCell ref="A216:B216"/>
    <mergeCell ref="A217:B217"/>
    <mergeCell ref="A139:B139"/>
    <mergeCell ref="A140:B140"/>
    <mergeCell ref="A141:B141"/>
    <mergeCell ref="B142:B143"/>
    <mergeCell ref="A111:B111"/>
    <mergeCell ref="A112:B112"/>
    <mergeCell ref="A105:B105"/>
    <mergeCell ref="A106:B106"/>
    <mergeCell ref="A74:B74"/>
    <mergeCell ref="A71:B71"/>
    <mergeCell ref="A28:B28"/>
    <mergeCell ref="A100:B100"/>
    <mergeCell ref="A98:B98"/>
    <mergeCell ref="A99:B99"/>
    <mergeCell ref="A84:B84"/>
    <mergeCell ref="A85:B85"/>
  </mergeCells>
  <phoneticPr fontId="2" type="noConversion"/>
  <hyperlinks>
    <hyperlink ref="A1" r:id="rId1" display="http://www.laborcommissioner.com/10rates/clark.html"/>
    <hyperlink ref="B4" location="sheetzone" display="sheetzone"/>
    <hyperlink ref="B15" location="brick zone" display="brick zone"/>
    <hyperlink ref="B18" location="carpzone" display="carpzone"/>
    <hyperlink ref="B24" location="cemmaszone" display="cemmaszone"/>
    <hyperlink ref="B29" location="ELEC COMM TECH SOUTH" display="ELEC COMM TECH SOUTH"/>
    <hyperlink ref="B45" location="electwirezone" display="electwirezone"/>
    <hyperlink ref="B58" location="labzone" display="labzone"/>
    <hyperlink ref="B72" location="labzone" display="labzone"/>
    <hyperlink ref="B75" location="labzone" display="labzone"/>
    <hyperlink ref="B80" r:id="rId2" display="http://www.laborcommissioner.com/10rates/2010 Amendments/2010Amendment1.htm"/>
    <hyperlink ref="A86" location="LABOR GROUPS" display="LABOR GROUPS"/>
    <hyperlink ref="B86" location="labzone" display="labzone"/>
    <hyperlink ref="A113" location="op eng groups" display="op eng groups"/>
    <hyperlink ref="B113" location="opengzone" display="opengzone"/>
    <hyperlink ref="A144" location="op eng cranes groups" display="op eng cranes groups"/>
    <hyperlink ref="B144" location="opengzone" display="opengzone"/>
    <hyperlink ref="A219" location="OP ENG SURVEY GROUP CLASS 07" display="OP ENG SURVEY GROUP CLASS 07"/>
    <hyperlink ref="B219" location="opengzone" display="opengzone"/>
    <hyperlink ref="A233" location="op eng tunnel groups" display="op eng tunnel groups"/>
    <hyperlink ref="B233" location="opengzone" display="opengzone"/>
    <hyperlink ref="B256" location="plastzone" display="plastzone"/>
    <hyperlink ref="B276" location="sheetzone" display="sheetzone"/>
    <hyperlink ref="B290" location="TILE TERRAZZO MARBLE ZONE" display="TILE TERRAZZO MARBLE ZONE"/>
    <hyperlink ref="B296" location="labzone" display="labzone"/>
    <hyperlink ref="A300" location="Truck Driver 08" display="Truck Driver 08"/>
    <hyperlink ref="B300" location="Truck Zone" display="Truck Zone"/>
    <hyperlink ref="B309" location="opengzone" display="opengzone"/>
    <hyperlink ref="B313" location="opengzone" display="opengzone"/>
    <hyperlink ref="B316" location="opengzone" display="opengzone"/>
    <hyperlink ref="B319" location="opengzone" display="opengzone"/>
    <hyperlink ref="B322" location="opengzone" display="opengzone"/>
    <hyperlink ref="B325" location="opengzone" display="opengzone"/>
    <hyperlink ref="B328" location="opengzone" display="opengzone"/>
  </hyperlinks>
  <pageMargins left="0.3" right="0.3" top="0.5" bottom="0.5" header="0.5" footer="0.5"/>
  <pageSetup orientation="landscape" r:id="rId3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11"/>
  <sheetViews>
    <sheetView workbookViewId="0">
      <selection activeCell="M1" sqref="M1:M1048576"/>
    </sheetView>
  </sheetViews>
  <sheetFormatPr defaultRowHeight="12.75"/>
  <cols>
    <col min="1" max="1" width="34" customWidth="1"/>
    <col min="2" max="2" width="9.85546875" style="9" customWidth="1"/>
    <col min="3" max="3" width="10.7109375" style="9" customWidth="1"/>
    <col min="4" max="4" width="11.140625" customWidth="1"/>
    <col min="6" max="6" width="17.28515625" customWidth="1"/>
    <col min="7" max="7" width="6.7109375" style="40" customWidth="1"/>
    <col min="8" max="8" width="11.7109375" customWidth="1"/>
    <col min="9" max="9" width="13.42578125" customWidth="1"/>
    <col min="11" max="11" width="15.7109375" customWidth="1"/>
    <col min="12" max="12" width="13.28515625" customWidth="1"/>
  </cols>
  <sheetData>
    <row r="1" spans="1:12" ht="57" customHeight="1">
      <c r="A1" s="48" t="s">
        <v>3990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30"/>
      <c r="C2" s="30"/>
      <c r="D2" s="21">
        <f>AVERAGE(D4:D236)</f>
        <v>5.8539717648119279E-2</v>
      </c>
      <c r="F2" s="21">
        <f>AVERAGE(F4:F236)</f>
        <v>5.9931524870924881E-2</v>
      </c>
      <c r="H2" s="21">
        <f>AVERAGE(H4:H236)</f>
        <v>4.9788110368058178E-2</v>
      </c>
      <c r="I2" s="21">
        <f>AVERAGE(I4:I236)</f>
        <v>1.2685701279222202E-2</v>
      </c>
      <c r="J2" s="21"/>
      <c r="K2" s="21"/>
      <c r="L2" s="21">
        <f>AVERAGE(L4:L236)</f>
        <v>0.49191968382312706</v>
      </c>
    </row>
    <row r="3" spans="1:12">
      <c r="L3" s="16"/>
    </row>
    <row r="4" spans="1:12" ht="63.75">
      <c r="A4" s="2" t="s">
        <v>3500</v>
      </c>
      <c r="B4" s="12" t="s">
        <v>3501</v>
      </c>
      <c r="C4" s="51"/>
      <c r="D4" s="8"/>
      <c r="E4" s="8"/>
      <c r="F4" s="8"/>
      <c r="G4" s="23" t="s">
        <v>3983</v>
      </c>
      <c r="H4" s="43">
        <f>AVERAGE(F5:F7)</f>
        <v>0.45080349591203839</v>
      </c>
      <c r="I4" s="8"/>
      <c r="J4" s="44"/>
      <c r="K4" s="44"/>
      <c r="L4" s="43"/>
    </row>
    <row r="5" spans="1:12" ht="12.75" customHeight="1">
      <c r="A5" s="1" t="s">
        <v>3750</v>
      </c>
      <c r="B5" s="7">
        <v>46.6</v>
      </c>
      <c r="C5" s="7">
        <v>48.35</v>
      </c>
      <c r="D5" s="16">
        <f>(C5-B5)/B5</f>
        <v>3.7553648068669523E-2</v>
      </c>
      <c r="E5" s="9">
        <v>35.47</v>
      </c>
      <c r="F5" s="16">
        <f>(C5-E5)/E5</f>
        <v>0.36312376656329298</v>
      </c>
      <c r="J5" s="9"/>
      <c r="K5" s="9"/>
      <c r="L5" s="16"/>
    </row>
    <row r="6" spans="1:12" ht="12.75" customHeight="1">
      <c r="A6" s="1" t="s">
        <v>3751</v>
      </c>
      <c r="B6" s="7">
        <v>49.62</v>
      </c>
      <c r="C6" s="7">
        <v>51.46</v>
      </c>
      <c r="D6" s="16">
        <f t="shared" ref="D6:D69" si="0">(C6-B6)/B6</f>
        <v>3.70818218460299E-2</v>
      </c>
      <c r="E6" s="9">
        <v>35.47</v>
      </c>
      <c r="F6" s="16">
        <f>(C6-E6)/E6</f>
        <v>0.45080349591203839</v>
      </c>
      <c r="J6" s="9"/>
      <c r="K6" s="9"/>
      <c r="L6" s="16"/>
    </row>
    <row r="7" spans="1:12" ht="12.75" customHeight="1">
      <c r="A7" s="1" t="s">
        <v>3752</v>
      </c>
      <c r="B7" s="7">
        <v>52.64</v>
      </c>
      <c r="C7" s="7">
        <v>54.57</v>
      </c>
      <c r="D7" s="16">
        <f t="shared" si="0"/>
        <v>3.666413373860182E-2</v>
      </c>
      <c r="E7" s="9">
        <v>35.47</v>
      </c>
      <c r="F7" s="16">
        <f>(C7-E7)/E7</f>
        <v>0.53848322526078385</v>
      </c>
      <c r="J7" s="9"/>
      <c r="K7" s="9"/>
      <c r="L7" s="16"/>
    </row>
    <row r="8" spans="1:12">
      <c r="A8" s="1"/>
      <c r="B8" s="7"/>
      <c r="C8" s="7"/>
      <c r="D8" s="16"/>
      <c r="E8" s="9"/>
      <c r="J8" s="9"/>
      <c r="K8" s="9"/>
      <c r="L8" s="16"/>
    </row>
    <row r="9" spans="1:12">
      <c r="A9" s="2" t="s">
        <v>3505</v>
      </c>
      <c r="B9" s="7"/>
      <c r="C9" s="8" t="s">
        <v>3481</v>
      </c>
      <c r="D9" s="43"/>
      <c r="E9" s="44"/>
      <c r="F9" s="8"/>
      <c r="G9" s="23" t="s">
        <v>3984</v>
      </c>
      <c r="H9" s="8"/>
      <c r="I9" s="43">
        <f>AVERAGE(F10)</f>
        <v>0</v>
      </c>
      <c r="J9" s="44"/>
      <c r="K9" s="44"/>
      <c r="L9" s="43"/>
    </row>
    <row r="10" spans="1:12" ht="12.75" customHeight="1">
      <c r="A10" s="1" t="s">
        <v>3903</v>
      </c>
      <c r="B10" s="7">
        <v>28.11</v>
      </c>
      <c r="C10" s="7">
        <v>26.47</v>
      </c>
      <c r="D10" s="16">
        <f t="shared" si="0"/>
        <v>-5.8342226965492731E-2</v>
      </c>
      <c r="E10" s="9">
        <v>26.47</v>
      </c>
      <c r="F10" s="16">
        <f>(C10-E10)/E10</f>
        <v>0</v>
      </c>
      <c r="J10" s="9"/>
      <c r="K10" s="9"/>
      <c r="L10" s="16"/>
    </row>
    <row r="11" spans="1:12">
      <c r="A11" s="1"/>
      <c r="B11" s="7"/>
      <c r="C11" s="7"/>
      <c r="D11" s="16"/>
      <c r="E11" s="9"/>
      <c r="J11" s="9"/>
      <c r="K11" s="9"/>
      <c r="L11" s="16"/>
    </row>
    <row r="12" spans="1:12" ht="12.75" customHeight="1">
      <c r="A12" s="2" t="s">
        <v>3507</v>
      </c>
      <c r="B12" s="11" t="s">
        <v>3534</v>
      </c>
      <c r="C12" s="8" t="s">
        <v>3981</v>
      </c>
      <c r="D12" s="43"/>
      <c r="E12" s="44"/>
      <c r="F12" s="8"/>
      <c r="G12" s="23" t="s">
        <v>3983</v>
      </c>
      <c r="H12" s="43">
        <f>AVERAGE(F13)</f>
        <v>1.8693032596941044E-2</v>
      </c>
      <c r="I12" s="8"/>
      <c r="J12" s="44"/>
      <c r="K12" s="44"/>
      <c r="L12" s="43"/>
    </row>
    <row r="13" spans="1:12" ht="12.75" customHeight="1">
      <c r="A13" s="1" t="s">
        <v>3508</v>
      </c>
      <c r="B13" s="7">
        <v>59.5</v>
      </c>
      <c r="C13" s="7">
        <v>65.94</v>
      </c>
      <c r="D13" s="16">
        <f t="shared" si="0"/>
        <v>0.10823529411764703</v>
      </c>
      <c r="E13" s="9">
        <v>64.73</v>
      </c>
      <c r="F13" s="16">
        <f>(C13-E13)/E13</f>
        <v>1.8693032596941044E-2</v>
      </c>
      <c r="J13" s="9"/>
      <c r="K13" s="9"/>
      <c r="L13" s="16"/>
    </row>
    <row r="14" spans="1:12">
      <c r="A14" s="1"/>
      <c r="B14" s="7"/>
      <c r="C14" s="7"/>
      <c r="D14" s="16"/>
      <c r="E14" s="9"/>
      <c r="J14" s="9"/>
      <c r="K14" s="9"/>
      <c r="L14" s="16"/>
    </row>
    <row r="15" spans="1:12" ht="38.25">
      <c r="A15" s="2" t="s">
        <v>3509</v>
      </c>
      <c r="B15" s="12" t="s">
        <v>3510</v>
      </c>
      <c r="C15" s="8" t="s">
        <v>3480</v>
      </c>
      <c r="D15" s="43"/>
      <c r="E15" s="44"/>
      <c r="F15" s="8"/>
      <c r="G15" s="23" t="s">
        <v>3984</v>
      </c>
      <c r="H15" s="8"/>
      <c r="I15" s="43">
        <f>AVERAGE(F16)</f>
        <v>3.7131069501745419E-2</v>
      </c>
      <c r="J15" s="44"/>
      <c r="K15" s="44"/>
      <c r="L15" s="43"/>
    </row>
    <row r="16" spans="1:12" ht="12.75" customHeight="1">
      <c r="A16" s="1" t="s">
        <v>3904</v>
      </c>
      <c r="B16" s="7">
        <v>32.68</v>
      </c>
      <c r="C16" s="7">
        <v>32.68</v>
      </c>
      <c r="D16" s="16">
        <f t="shared" si="0"/>
        <v>0</v>
      </c>
      <c r="E16" s="9">
        <v>31.51</v>
      </c>
      <c r="F16" s="16">
        <f>(C16-E16)/E16</f>
        <v>3.7131069501745419E-2</v>
      </c>
      <c r="J16" s="9">
        <v>26.43</v>
      </c>
      <c r="K16" s="9">
        <f>J16*1.4</f>
        <v>37.001999999999995</v>
      </c>
      <c r="L16" s="16">
        <f>(C16-K16)/K16</f>
        <v>-0.11680449705421318</v>
      </c>
    </row>
    <row r="17" spans="1:12">
      <c r="A17" s="1"/>
      <c r="B17" s="7"/>
      <c r="C17" s="7"/>
      <c r="D17" s="16"/>
      <c r="E17" s="9"/>
      <c r="J17" s="9"/>
      <c r="K17" s="9">
        <f t="shared" ref="K17:K80" si="1">J17*1.4</f>
        <v>0</v>
      </c>
      <c r="L17" s="16"/>
    </row>
    <row r="18" spans="1:12" ht="38.25">
      <c r="A18" s="2" t="s">
        <v>3514</v>
      </c>
      <c r="B18" s="12" t="s">
        <v>3510</v>
      </c>
      <c r="C18" s="51"/>
      <c r="D18" s="43"/>
      <c r="E18" s="44"/>
      <c r="F18" s="8"/>
      <c r="G18" s="23" t="s">
        <v>3983</v>
      </c>
      <c r="H18" s="43">
        <f>AVERAGE(F19:F20)</f>
        <v>3.5438144329896913E-2</v>
      </c>
      <c r="I18" s="8"/>
      <c r="J18" s="44"/>
      <c r="K18" s="9">
        <f t="shared" si="1"/>
        <v>0</v>
      </c>
      <c r="L18" s="43"/>
    </row>
    <row r="19" spans="1:12" ht="12.75" customHeight="1">
      <c r="A19" s="1" t="s">
        <v>3515</v>
      </c>
      <c r="B19" s="7">
        <v>38.299999999999997</v>
      </c>
      <c r="C19" s="7">
        <v>38.799999999999997</v>
      </c>
      <c r="D19" s="16">
        <f t="shared" si="0"/>
        <v>1.3054830287206267E-2</v>
      </c>
      <c r="E19" s="9">
        <v>38.799999999999997</v>
      </c>
      <c r="F19" s="16">
        <f>(C19-E19)/E19</f>
        <v>0</v>
      </c>
      <c r="J19" s="9">
        <v>22.26</v>
      </c>
      <c r="K19" s="9">
        <f t="shared" si="1"/>
        <v>31.164000000000001</v>
      </c>
      <c r="L19" s="16">
        <f>(C19-K19)/K19</f>
        <v>0.24502631241175701</v>
      </c>
    </row>
    <row r="20" spans="1:12" ht="12.75" customHeight="1">
      <c r="A20" s="1" t="s">
        <v>3516</v>
      </c>
      <c r="B20" s="7">
        <v>41.05</v>
      </c>
      <c r="C20" s="7">
        <v>41.55</v>
      </c>
      <c r="D20" s="16">
        <f t="shared" si="0"/>
        <v>1.2180267965895251E-2</v>
      </c>
      <c r="E20" s="9">
        <v>38.799999999999997</v>
      </c>
      <c r="F20" s="16">
        <f>(C20-E20)/E20</f>
        <v>7.0876288659793826E-2</v>
      </c>
      <c r="J20" s="9">
        <v>22.26</v>
      </c>
      <c r="K20" s="9">
        <f t="shared" si="1"/>
        <v>31.164000000000001</v>
      </c>
      <c r="L20" s="16">
        <f>(C20-K20)/K20</f>
        <v>0.33326915671929136</v>
      </c>
    </row>
    <row r="21" spans="1:12">
      <c r="A21" s="1"/>
      <c r="B21" s="7"/>
      <c r="C21" s="7"/>
      <c r="D21" s="16"/>
      <c r="E21" s="9"/>
      <c r="J21" s="9"/>
      <c r="K21" s="9">
        <f t="shared" si="1"/>
        <v>0</v>
      </c>
      <c r="L21" s="16"/>
    </row>
    <row r="22" spans="1:12" ht="12.75" customHeight="1">
      <c r="A22" s="2" t="s">
        <v>3517</v>
      </c>
      <c r="B22" s="7"/>
      <c r="C22" s="31"/>
      <c r="D22" s="43"/>
      <c r="E22" s="44"/>
      <c r="F22" s="8"/>
      <c r="G22" s="23" t="s">
        <v>3983</v>
      </c>
      <c r="H22" s="43">
        <f>AVERAGE(F23:F24)</f>
        <v>2.9369002617039779E-2</v>
      </c>
      <c r="I22" s="8"/>
      <c r="J22" s="44"/>
      <c r="K22" s="9">
        <f t="shared" si="1"/>
        <v>0</v>
      </c>
      <c r="L22" s="43"/>
    </row>
    <row r="23" spans="1:12" ht="12.75" customHeight="1">
      <c r="A23" s="1" t="s">
        <v>3521</v>
      </c>
      <c r="B23" s="7">
        <v>34.4</v>
      </c>
      <c r="C23" s="7">
        <v>34.4</v>
      </c>
      <c r="D23" s="16">
        <f t="shared" si="0"/>
        <v>0</v>
      </c>
      <c r="E23" s="9">
        <v>34.39</v>
      </c>
      <c r="F23" s="16">
        <f>(C23-E23)/E23</f>
        <v>2.9078220412904945E-4</v>
      </c>
      <c r="J23" s="9">
        <v>23.63</v>
      </c>
      <c r="K23" s="9">
        <f t="shared" si="1"/>
        <v>33.081999999999994</v>
      </c>
      <c r="L23" s="16">
        <f>(C23-K23)/K23</f>
        <v>3.9840396590290948E-2</v>
      </c>
    </row>
    <row r="24" spans="1:12" ht="12.75" customHeight="1">
      <c r="A24" s="1" t="s">
        <v>3522</v>
      </c>
      <c r="B24" s="7">
        <v>36.4</v>
      </c>
      <c r="C24" s="7">
        <v>36.4</v>
      </c>
      <c r="D24" s="16">
        <f t="shared" si="0"/>
        <v>0</v>
      </c>
      <c r="E24" s="9">
        <v>34.39</v>
      </c>
      <c r="F24" s="16">
        <f>(C24-E24)/E24</f>
        <v>5.8447223029950507E-2</v>
      </c>
      <c r="J24" s="9">
        <v>23.63</v>
      </c>
      <c r="K24" s="9">
        <f t="shared" si="1"/>
        <v>33.081999999999994</v>
      </c>
      <c r="L24" s="16">
        <f>(C24-K24)/K24</f>
        <v>0.10029623360135438</v>
      </c>
    </row>
    <row r="25" spans="1:12">
      <c r="A25" s="143"/>
      <c r="B25" s="143"/>
      <c r="C25" s="7"/>
      <c r="D25" s="16"/>
      <c r="E25" s="9"/>
      <c r="J25" s="9"/>
      <c r="K25" s="9">
        <f t="shared" si="1"/>
        <v>0</v>
      </c>
      <c r="L25" s="16"/>
    </row>
    <row r="26" spans="1:12" ht="12.75" customHeight="1">
      <c r="A26" s="144" t="s">
        <v>3676</v>
      </c>
      <c r="B26" s="144"/>
      <c r="C26" s="32"/>
      <c r="D26" s="46"/>
      <c r="E26" s="49"/>
      <c r="F26" s="47"/>
      <c r="G26" s="45" t="s">
        <v>3984</v>
      </c>
      <c r="H26" s="47"/>
      <c r="I26" s="46">
        <f>AVERAGE(F27:F29)</f>
        <v>4.2743538767395596E-2</v>
      </c>
      <c r="J26" s="49"/>
      <c r="K26" s="9">
        <f t="shared" si="1"/>
        <v>0</v>
      </c>
      <c r="L26" s="46"/>
    </row>
    <row r="27" spans="1:12" ht="12.75" customHeight="1">
      <c r="A27" s="1" t="s">
        <v>3905</v>
      </c>
      <c r="B27" s="7">
        <v>27.97</v>
      </c>
      <c r="C27" s="7">
        <v>31.47</v>
      </c>
      <c r="D27" s="16">
        <f t="shared" si="0"/>
        <v>0.12513407222023598</v>
      </c>
      <c r="E27" s="9">
        <v>30.18</v>
      </c>
      <c r="F27" s="16">
        <f>(C27-E27)/E27</f>
        <v>4.2743538767395596E-2</v>
      </c>
      <c r="J27" s="9"/>
      <c r="K27" s="9">
        <f t="shared" si="1"/>
        <v>0</v>
      </c>
      <c r="L27" s="16"/>
    </row>
    <row r="28" spans="1:12" ht="12.75" customHeight="1">
      <c r="A28" s="1" t="s">
        <v>3906</v>
      </c>
      <c r="B28" s="7">
        <v>30.88</v>
      </c>
      <c r="C28" s="7">
        <v>31.47</v>
      </c>
      <c r="D28" s="16">
        <f t="shared" si="0"/>
        <v>1.9106217616580306E-2</v>
      </c>
      <c r="E28" s="9">
        <v>30.18</v>
      </c>
      <c r="F28" s="16">
        <f>(C28-E28)/E28</f>
        <v>4.2743538767395596E-2</v>
      </c>
      <c r="J28" s="9"/>
      <c r="K28" s="9">
        <f t="shared" si="1"/>
        <v>0</v>
      </c>
      <c r="L28" s="16"/>
    </row>
    <row r="29" spans="1:12" ht="12.75" customHeight="1">
      <c r="A29" s="1" t="s">
        <v>3907</v>
      </c>
      <c r="B29" s="7">
        <v>33.130000000000003</v>
      </c>
      <c r="C29" s="7">
        <v>31.47</v>
      </c>
      <c r="D29" s="16">
        <f t="shared" si="0"/>
        <v>-5.0105644431029384E-2</v>
      </c>
      <c r="E29" s="9">
        <v>30.18</v>
      </c>
      <c r="F29" s="16">
        <f>(C29-E29)/E29</f>
        <v>4.2743538767395596E-2</v>
      </c>
      <c r="J29" s="9"/>
      <c r="K29" s="9">
        <f t="shared" si="1"/>
        <v>0</v>
      </c>
      <c r="L29" s="16"/>
    </row>
    <row r="30" spans="1:12">
      <c r="A30" s="1"/>
      <c r="B30" s="7"/>
      <c r="C30" s="7"/>
      <c r="D30" s="16"/>
      <c r="E30" s="9"/>
      <c r="J30" s="9"/>
      <c r="K30" s="9">
        <f t="shared" si="1"/>
        <v>0</v>
      </c>
      <c r="L30" s="16"/>
    </row>
    <row r="31" spans="1:12" ht="12.75" customHeight="1">
      <c r="A31" s="2" t="s">
        <v>3527</v>
      </c>
      <c r="B31" s="11" t="s">
        <v>3534</v>
      </c>
      <c r="C31" s="33" t="s">
        <v>3534</v>
      </c>
      <c r="D31" s="43"/>
      <c r="E31" s="44"/>
      <c r="F31" s="8"/>
      <c r="G31" s="23" t="s">
        <v>3983</v>
      </c>
      <c r="H31" s="43">
        <f>AVERAGE(F32:F36)</f>
        <v>-2.2260273972602725E-2</v>
      </c>
      <c r="I31" s="8"/>
      <c r="J31" s="44"/>
      <c r="K31" s="9">
        <f t="shared" si="1"/>
        <v>0</v>
      </c>
      <c r="L31" s="43"/>
    </row>
    <row r="32" spans="1:12" ht="12.75" customHeight="1">
      <c r="A32" s="1" t="s">
        <v>3528</v>
      </c>
      <c r="B32" s="7">
        <v>39.19</v>
      </c>
      <c r="C32" s="7">
        <v>40.5</v>
      </c>
      <c r="D32" s="16">
        <f t="shared" si="0"/>
        <v>3.3426894615973521E-2</v>
      </c>
      <c r="E32" s="9">
        <v>58.4</v>
      </c>
      <c r="F32" s="16">
        <f>(C32-E32)/E32</f>
        <v>-0.3065068493150685</v>
      </c>
      <c r="J32" s="9"/>
      <c r="K32" s="9">
        <f t="shared" si="1"/>
        <v>0</v>
      </c>
      <c r="L32" s="16"/>
    </row>
    <row r="33" spans="1:12" ht="12.75" customHeight="1">
      <c r="A33" s="1" t="s">
        <v>3529</v>
      </c>
      <c r="B33" s="7">
        <v>57.91</v>
      </c>
      <c r="C33" s="7">
        <v>59.9</v>
      </c>
      <c r="D33" s="16">
        <f t="shared" si="0"/>
        <v>3.4363667760317768E-2</v>
      </c>
      <c r="E33" s="9">
        <v>58.4</v>
      </c>
      <c r="F33" s="16">
        <f>(C33-E33)/E33</f>
        <v>2.5684931506849317E-2</v>
      </c>
      <c r="J33" s="9"/>
      <c r="K33" s="9">
        <f t="shared" si="1"/>
        <v>0</v>
      </c>
      <c r="L33" s="16"/>
    </row>
    <row r="34" spans="1:12" ht="12.75" customHeight="1">
      <c r="A34" s="1" t="s">
        <v>3530</v>
      </c>
      <c r="B34" s="7">
        <v>63.02</v>
      </c>
      <c r="C34" s="7">
        <v>65.16</v>
      </c>
      <c r="D34" s="16">
        <f t="shared" si="0"/>
        <v>3.3957473817835503E-2</v>
      </c>
      <c r="E34" s="9">
        <v>58.4</v>
      </c>
      <c r="F34" s="16">
        <f>(C34-E34)/E34</f>
        <v>0.11575342465753422</v>
      </c>
      <c r="J34" s="9"/>
      <c r="K34" s="9">
        <f t="shared" si="1"/>
        <v>0</v>
      </c>
      <c r="L34" s="16"/>
    </row>
    <row r="35" spans="1:12" ht="12.75" customHeight="1">
      <c r="A35" s="1" t="s">
        <v>3531</v>
      </c>
      <c r="B35" s="7">
        <v>68.12</v>
      </c>
      <c r="C35" s="7">
        <v>70.45</v>
      </c>
      <c r="D35" s="16">
        <f t="shared" si="0"/>
        <v>3.4204345273047533E-2</v>
      </c>
      <c r="E35" s="9">
        <v>58.4</v>
      </c>
      <c r="F35" s="16">
        <f>(C35-E35)/E35</f>
        <v>0.20633561643835624</v>
      </c>
      <c r="J35" s="9"/>
      <c r="K35" s="9">
        <f t="shared" si="1"/>
        <v>0</v>
      </c>
      <c r="L35" s="16"/>
    </row>
    <row r="36" spans="1:12" ht="12.75" customHeight="1">
      <c r="A36" s="1" t="s">
        <v>3532</v>
      </c>
      <c r="B36" s="7">
        <v>47.86</v>
      </c>
      <c r="C36" s="7">
        <v>49.49</v>
      </c>
      <c r="D36" s="16">
        <f t="shared" si="0"/>
        <v>3.4057668198913552E-2</v>
      </c>
      <c r="E36" s="9">
        <v>58.4</v>
      </c>
      <c r="F36" s="16">
        <f>(C36-E36)/E36</f>
        <v>-0.15256849315068488</v>
      </c>
      <c r="J36" s="9"/>
      <c r="K36" s="9">
        <f t="shared" si="1"/>
        <v>0</v>
      </c>
      <c r="L36" s="16"/>
    </row>
    <row r="37" spans="1:12">
      <c r="A37" s="1"/>
      <c r="B37" s="7"/>
      <c r="C37" s="7"/>
      <c r="D37" s="16"/>
      <c r="E37" s="9"/>
      <c r="J37" s="9"/>
      <c r="K37" s="9">
        <f t="shared" si="1"/>
        <v>0</v>
      </c>
      <c r="L37" s="16"/>
    </row>
    <row r="38" spans="1:12" ht="12.75" customHeight="1">
      <c r="A38" s="2" t="s">
        <v>3533</v>
      </c>
      <c r="B38" s="11" t="s">
        <v>3534</v>
      </c>
      <c r="C38" s="33" t="s">
        <v>3534</v>
      </c>
      <c r="D38" s="43"/>
      <c r="E38" s="44"/>
      <c r="F38" s="8"/>
      <c r="G38" s="23" t="s">
        <v>3983</v>
      </c>
      <c r="H38" s="43">
        <f>AVERAGE(F39)</f>
        <v>5.7445868316395301E-3</v>
      </c>
      <c r="I38" s="8"/>
      <c r="J38" s="44"/>
      <c r="K38" s="9">
        <f t="shared" si="1"/>
        <v>0</v>
      </c>
      <c r="L38" s="43"/>
    </row>
    <row r="39" spans="1:12" ht="12.75" customHeight="1">
      <c r="A39" s="1" t="s">
        <v>3535</v>
      </c>
      <c r="B39" s="7">
        <v>44.31</v>
      </c>
      <c r="C39" s="7">
        <v>45.52</v>
      </c>
      <c r="D39" s="16">
        <f t="shared" si="0"/>
        <v>2.7307605506657655E-2</v>
      </c>
      <c r="E39" s="9">
        <v>45.26</v>
      </c>
      <c r="F39" s="16">
        <f>(C39-E39)/E39</f>
        <v>5.7445868316395301E-3</v>
      </c>
      <c r="J39" s="9"/>
      <c r="K39" s="9">
        <f t="shared" si="1"/>
        <v>0</v>
      </c>
      <c r="L39" s="16"/>
    </row>
    <row r="40" spans="1:12">
      <c r="A40" s="1"/>
      <c r="B40" s="7"/>
      <c r="C40" s="7"/>
      <c r="D40" s="16"/>
      <c r="E40" s="9"/>
      <c r="J40" s="9"/>
      <c r="K40" s="9">
        <f t="shared" si="1"/>
        <v>0</v>
      </c>
      <c r="L40" s="16"/>
    </row>
    <row r="41" spans="1:12" ht="12.75" customHeight="1">
      <c r="A41" s="2" t="s">
        <v>3536</v>
      </c>
      <c r="B41" s="11" t="s">
        <v>3534</v>
      </c>
      <c r="C41" s="33" t="s">
        <v>3534</v>
      </c>
      <c r="D41" s="43"/>
      <c r="E41" s="44"/>
      <c r="F41" s="8"/>
      <c r="G41" s="23" t="s">
        <v>3983</v>
      </c>
      <c r="H41" s="43">
        <f>AVERAGE(F42:F45)</f>
        <v>0.16549220585095031</v>
      </c>
      <c r="I41" s="8"/>
      <c r="J41" s="44"/>
      <c r="K41" s="9">
        <f t="shared" si="1"/>
        <v>0</v>
      </c>
      <c r="L41" s="43"/>
    </row>
    <row r="42" spans="1:12" ht="12.75" customHeight="1">
      <c r="A42" s="1" t="s">
        <v>3537</v>
      </c>
      <c r="B42" s="7">
        <v>47.69</v>
      </c>
      <c r="C42" s="7">
        <v>50.78</v>
      </c>
      <c r="D42" s="16">
        <f t="shared" si="0"/>
        <v>6.4793457747955627E-2</v>
      </c>
      <c r="E42" s="9">
        <v>46.83</v>
      </c>
      <c r="F42" s="16">
        <f>(C42-E42)/E42</f>
        <v>8.4347640401452123E-2</v>
      </c>
      <c r="J42" s="9">
        <v>22.97</v>
      </c>
      <c r="K42" s="9">
        <f t="shared" si="1"/>
        <v>32.157999999999994</v>
      </c>
      <c r="L42" s="16">
        <f>(C42-K42)/K42</f>
        <v>0.57907830088935908</v>
      </c>
    </row>
    <row r="43" spans="1:12" ht="12.75" customHeight="1">
      <c r="A43" s="1" t="s">
        <v>3538</v>
      </c>
      <c r="B43" s="7">
        <v>51.18</v>
      </c>
      <c r="C43" s="7">
        <v>54.58</v>
      </c>
      <c r="D43" s="16">
        <f t="shared" si="0"/>
        <v>6.6432200078155507E-2</v>
      </c>
      <c r="E43" s="9">
        <v>46.83</v>
      </c>
      <c r="F43" s="16">
        <f>(C43-E43)/E43</f>
        <v>0.16549220585095026</v>
      </c>
      <c r="J43" s="9">
        <v>22.97</v>
      </c>
      <c r="K43" s="9">
        <f t="shared" si="1"/>
        <v>32.157999999999994</v>
      </c>
      <c r="L43" s="16">
        <f t="shared" ref="L43:L45" si="2">(C43-K43)/K43</f>
        <v>0.6972448535356679</v>
      </c>
    </row>
    <row r="44" spans="1:12" ht="12.75" customHeight="1">
      <c r="A44" s="1" t="s">
        <v>3601</v>
      </c>
      <c r="B44" s="7">
        <v>51.18</v>
      </c>
      <c r="C44" s="7">
        <v>54.58</v>
      </c>
      <c r="D44" s="16">
        <f t="shared" si="0"/>
        <v>6.6432200078155507E-2</v>
      </c>
      <c r="E44" s="9">
        <v>46.83</v>
      </c>
      <c r="F44" s="16">
        <f>(C44-E44)/E44</f>
        <v>0.16549220585095026</v>
      </c>
      <c r="J44" s="9">
        <v>22.97</v>
      </c>
      <c r="K44" s="9">
        <f t="shared" si="1"/>
        <v>32.157999999999994</v>
      </c>
      <c r="L44" s="16">
        <f t="shared" si="2"/>
        <v>0.6972448535356679</v>
      </c>
    </row>
    <row r="45" spans="1:12" ht="12.75" customHeight="1">
      <c r="A45" s="1" t="s">
        <v>3766</v>
      </c>
      <c r="B45" s="7">
        <v>54.67</v>
      </c>
      <c r="C45" s="7">
        <v>58.38</v>
      </c>
      <c r="D45" s="16">
        <f t="shared" si="0"/>
        <v>6.7861715749039708E-2</v>
      </c>
      <c r="E45" s="9">
        <v>46.83</v>
      </c>
      <c r="F45" s="16">
        <f>(C45-E45)/E45</f>
        <v>0.24663677130044853</v>
      </c>
      <c r="J45" s="9">
        <v>22.97</v>
      </c>
      <c r="K45" s="9">
        <f t="shared" si="1"/>
        <v>32.157999999999994</v>
      </c>
      <c r="L45" s="16">
        <f t="shared" si="2"/>
        <v>0.81541140618197694</v>
      </c>
    </row>
    <row r="46" spans="1:12">
      <c r="A46" s="1"/>
      <c r="B46" s="7"/>
      <c r="C46" s="7"/>
      <c r="D46" s="16"/>
      <c r="E46" s="9"/>
      <c r="J46" s="9"/>
      <c r="K46" s="9">
        <f t="shared" si="1"/>
        <v>0</v>
      </c>
      <c r="L46" s="16"/>
    </row>
    <row r="47" spans="1:12" ht="12.75" customHeight="1">
      <c r="A47" s="2" t="s">
        <v>3541</v>
      </c>
      <c r="B47" s="11" t="s">
        <v>3534</v>
      </c>
      <c r="C47" s="33" t="s">
        <v>3534</v>
      </c>
      <c r="D47" s="43"/>
      <c r="E47" s="44"/>
      <c r="F47" s="8"/>
      <c r="G47" s="23" t="s">
        <v>3983</v>
      </c>
      <c r="H47" s="43">
        <f>AVERAGE(F48:F49)</f>
        <v>7.0849143006672666E-2</v>
      </c>
      <c r="I47" s="8"/>
      <c r="J47" s="44"/>
      <c r="K47" s="9">
        <f t="shared" si="1"/>
        <v>0</v>
      </c>
      <c r="L47" s="43"/>
    </row>
    <row r="48" spans="1:12" ht="12.75" customHeight="1">
      <c r="A48" s="1" t="s">
        <v>3542</v>
      </c>
      <c r="B48" s="7">
        <v>46.01</v>
      </c>
      <c r="C48" s="7">
        <v>78.209999999999994</v>
      </c>
      <c r="D48" s="16">
        <f t="shared" si="0"/>
        <v>0.69984785916105186</v>
      </c>
      <c r="E48" s="9">
        <v>76.430000000000007</v>
      </c>
      <c r="F48" s="16">
        <f>(C48-E48)/E48</f>
        <v>2.3289284312442586E-2</v>
      </c>
      <c r="J48" s="9"/>
      <c r="K48" s="9">
        <f t="shared" si="1"/>
        <v>0</v>
      </c>
      <c r="L48" s="16"/>
    </row>
    <row r="49" spans="1:12" ht="12.75" customHeight="1">
      <c r="A49" s="1" t="s">
        <v>3543</v>
      </c>
      <c r="B49" s="7">
        <v>46.01</v>
      </c>
      <c r="C49" s="7">
        <v>85.48</v>
      </c>
      <c r="D49" s="16">
        <f t="shared" si="0"/>
        <v>0.85785698761138895</v>
      </c>
      <c r="E49" s="9">
        <v>76.430000000000007</v>
      </c>
      <c r="F49" s="16">
        <f>(C49-E49)/E49</f>
        <v>0.11840900170090274</v>
      </c>
      <c r="J49" s="9"/>
      <c r="K49" s="9">
        <f t="shared" si="1"/>
        <v>0</v>
      </c>
      <c r="L49" s="16"/>
    </row>
    <row r="50" spans="1:12">
      <c r="A50" s="1"/>
      <c r="B50" s="7"/>
      <c r="C50" s="7"/>
      <c r="D50" s="16"/>
      <c r="E50" s="9"/>
      <c r="J50" s="9"/>
      <c r="K50" s="9">
        <f t="shared" si="1"/>
        <v>0</v>
      </c>
      <c r="L50" s="16"/>
    </row>
    <row r="51" spans="1:12" ht="12.75" customHeight="1">
      <c r="A51" s="2" t="s">
        <v>3544</v>
      </c>
      <c r="B51" s="7"/>
      <c r="C51" s="31"/>
      <c r="D51" s="43"/>
      <c r="E51" s="44"/>
      <c r="F51" s="8"/>
      <c r="G51" s="23" t="s">
        <v>3983</v>
      </c>
      <c r="H51" s="43">
        <f>AVERAGE(F52)</f>
        <v>0</v>
      </c>
      <c r="I51" s="8"/>
      <c r="J51" s="44"/>
      <c r="K51" s="9">
        <f t="shared" si="1"/>
        <v>0</v>
      </c>
      <c r="L51" s="43"/>
    </row>
    <row r="52" spans="1:12" ht="12.75" customHeight="1">
      <c r="A52" s="1" t="s">
        <v>3545</v>
      </c>
      <c r="B52" s="7">
        <v>37.56</v>
      </c>
      <c r="C52" s="7">
        <v>37.69</v>
      </c>
      <c r="D52" s="16">
        <f t="shared" si="0"/>
        <v>3.4611288604897614E-3</v>
      </c>
      <c r="E52" s="9">
        <v>37.69</v>
      </c>
      <c r="F52" s="16">
        <f>(C52-E52)/E52</f>
        <v>0</v>
      </c>
      <c r="J52" s="9"/>
      <c r="K52" s="9">
        <f t="shared" si="1"/>
        <v>0</v>
      </c>
      <c r="L52" s="16"/>
    </row>
    <row r="53" spans="1:12">
      <c r="A53" s="1"/>
      <c r="B53" s="7"/>
      <c r="C53" s="7"/>
      <c r="D53" s="16"/>
      <c r="E53" s="9"/>
      <c r="J53" s="9"/>
      <c r="K53" s="9">
        <f t="shared" si="1"/>
        <v>0</v>
      </c>
      <c r="L53" s="16"/>
    </row>
    <row r="54" spans="1:12" ht="47.25" customHeight="1">
      <c r="A54" s="2" t="s">
        <v>3495</v>
      </c>
      <c r="B54" s="12" t="s">
        <v>3682</v>
      </c>
      <c r="C54" s="51"/>
      <c r="D54" s="43"/>
      <c r="E54" s="44"/>
      <c r="F54" s="8"/>
      <c r="G54" s="23"/>
      <c r="H54" s="8"/>
      <c r="I54" s="8"/>
      <c r="J54" s="44"/>
      <c r="K54" s="9">
        <f t="shared" si="1"/>
        <v>0</v>
      </c>
      <c r="L54" s="43"/>
    </row>
    <row r="55" spans="1:12" ht="12.75" customHeight="1">
      <c r="A55" s="1" t="s">
        <v>3548</v>
      </c>
      <c r="B55" s="7">
        <v>27.95</v>
      </c>
      <c r="C55" s="7">
        <v>27.95</v>
      </c>
      <c r="D55" s="16">
        <f t="shared" si="0"/>
        <v>0</v>
      </c>
      <c r="E55" s="9"/>
      <c r="J55" s="9"/>
      <c r="K55" s="9">
        <f t="shared" si="1"/>
        <v>0</v>
      </c>
      <c r="L55" s="16"/>
    </row>
    <row r="56" spans="1:12">
      <c r="A56" s="1"/>
      <c r="B56" s="7"/>
      <c r="C56" s="7"/>
      <c r="D56" s="16"/>
      <c r="E56" s="9"/>
      <c r="J56" s="9"/>
      <c r="K56" s="9">
        <f t="shared" si="1"/>
        <v>0</v>
      </c>
      <c r="L56" s="16"/>
    </row>
    <row r="57" spans="1:12" ht="12.75" customHeight="1">
      <c r="A57" s="2" t="s">
        <v>3549</v>
      </c>
      <c r="B57" s="7"/>
      <c r="C57" s="31"/>
      <c r="D57" s="43"/>
      <c r="E57" s="44"/>
      <c r="F57" s="8"/>
      <c r="G57" s="23" t="s">
        <v>3983</v>
      </c>
      <c r="H57" s="43">
        <f>AVERAGE(F58:F59)</f>
        <v>3.6491324703938281E-2</v>
      </c>
      <c r="I57" s="8"/>
      <c r="J57" s="44"/>
      <c r="K57" s="9">
        <f t="shared" si="1"/>
        <v>0</v>
      </c>
      <c r="L57" s="43"/>
    </row>
    <row r="58" spans="1:12" ht="12.75" customHeight="1">
      <c r="A58" s="1" t="s">
        <v>3550</v>
      </c>
      <c r="B58" s="7">
        <v>36.26</v>
      </c>
      <c r="C58" s="7">
        <v>36.340000000000003</v>
      </c>
      <c r="D58" s="16">
        <f t="shared" si="0"/>
        <v>2.2062879205737838E-3</v>
      </c>
      <c r="E58" s="9">
        <v>36.31</v>
      </c>
      <c r="F58" s="16">
        <f>(C58-E58)/E58</f>
        <v>8.2621867254203073E-4</v>
      </c>
      <c r="G58"/>
      <c r="J58" s="9"/>
      <c r="K58" s="9">
        <f t="shared" si="1"/>
        <v>0</v>
      </c>
      <c r="L58" s="16"/>
    </row>
    <row r="59" spans="1:12" ht="12.75" customHeight="1">
      <c r="A59" s="1" t="s">
        <v>3551</v>
      </c>
      <c r="B59" s="7">
        <v>38.9</v>
      </c>
      <c r="C59" s="7">
        <v>38.93</v>
      </c>
      <c r="D59" s="16">
        <f t="shared" si="0"/>
        <v>7.7120822622110891E-4</v>
      </c>
      <c r="E59" s="9">
        <v>36.31</v>
      </c>
      <c r="F59" s="16">
        <f>(C59-E59)/E59</f>
        <v>7.2156430735334537E-2</v>
      </c>
      <c r="G59"/>
      <c r="J59" s="9"/>
      <c r="K59" s="9">
        <f t="shared" si="1"/>
        <v>0</v>
      </c>
      <c r="L59" s="16"/>
    </row>
    <row r="60" spans="1:12">
      <c r="A60" s="1"/>
      <c r="B60" s="7"/>
      <c r="C60" s="7"/>
      <c r="D60" s="16"/>
      <c r="E60" s="9"/>
      <c r="G60"/>
      <c r="J60" s="9"/>
      <c r="K60" s="9">
        <f t="shared" si="1"/>
        <v>0</v>
      </c>
      <c r="L60" s="16"/>
    </row>
    <row r="61" spans="1:12" ht="12.75" customHeight="1">
      <c r="A61" s="2" t="s">
        <v>3552</v>
      </c>
      <c r="B61" s="7"/>
      <c r="C61" s="31"/>
      <c r="D61" s="43"/>
      <c r="E61" s="44"/>
      <c r="F61" s="8"/>
      <c r="G61" s="23" t="s">
        <v>3983</v>
      </c>
      <c r="H61" s="43">
        <f>AVERAGE(F62)</f>
        <v>1.9090909090909169E-2</v>
      </c>
      <c r="I61" s="8"/>
      <c r="J61" s="44"/>
      <c r="K61" s="9">
        <f t="shared" si="1"/>
        <v>0</v>
      </c>
      <c r="L61" s="43"/>
    </row>
    <row r="62" spans="1:12" ht="12.75" customHeight="1">
      <c r="A62" s="1" t="s">
        <v>3553</v>
      </c>
      <c r="B62" s="7">
        <v>21.5</v>
      </c>
      <c r="C62" s="7">
        <v>22.42</v>
      </c>
      <c r="D62" s="16">
        <f t="shared" si="0"/>
        <v>4.2790697674418683E-2</v>
      </c>
      <c r="E62" s="9">
        <v>22</v>
      </c>
      <c r="F62" s="16">
        <f>(C62-E62)/E62</f>
        <v>1.9090909090909169E-2</v>
      </c>
      <c r="G62"/>
      <c r="J62" s="9"/>
      <c r="K62" s="9">
        <f t="shared" si="1"/>
        <v>0</v>
      </c>
      <c r="L62" s="16"/>
    </row>
    <row r="63" spans="1:12">
      <c r="A63" s="1"/>
      <c r="B63" s="7"/>
      <c r="C63" s="7"/>
      <c r="D63" s="16"/>
      <c r="E63" s="9"/>
      <c r="G63"/>
      <c r="J63" s="9"/>
      <c r="K63" s="9">
        <f t="shared" si="1"/>
        <v>0</v>
      </c>
      <c r="L63" s="16"/>
    </row>
    <row r="64" spans="1:12" ht="46.5" customHeight="1">
      <c r="A64" s="2" t="s">
        <v>3554</v>
      </c>
      <c r="B64" s="12" t="s">
        <v>3682</v>
      </c>
      <c r="C64" s="51"/>
      <c r="D64" s="43"/>
      <c r="E64" s="44"/>
      <c r="F64" s="8"/>
      <c r="G64" s="23" t="s">
        <v>3983</v>
      </c>
      <c r="H64" s="43">
        <f>AVERAGE(F65)</f>
        <v>0</v>
      </c>
      <c r="I64" s="8"/>
      <c r="J64" s="44"/>
      <c r="K64" s="9">
        <f t="shared" si="1"/>
        <v>0</v>
      </c>
      <c r="L64" s="43"/>
    </row>
    <row r="65" spans="1:12" ht="12.75" customHeight="1">
      <c r="A65" s="1" t="s">
        <v>3555</v>
      </c>
      <c r="B65" s="7">
        <v>33.57</v>
      </c>
      <c r="C65" s="7">
        <v>33.57</v>
      </c>
      <c r="D65" s="16">
        <f t="shared" si="0"/>
        <v>0</v>
      </c>
      <c r="E65" s="9">
        <v>33.57</v>
      </c>
      <c r="F65" s="16">
        <f>(C65-E65)/E65</f>
        <v>0</v>
      </c>
      <c r="J65" s="9"/>
      <c r="K65" s="9">
        <f t="shared" si="1"/>
        <v>0</v>
      </c>
      <c r="L65" s="16"/>
    </row>
    <row r="66" spans="1:12">
      <c r="A66" s="143"/>
      <c r="B66" s="143"/>
      <c r="C66" s="7"/>
      <c r="D66" s="16"/>
      <c r="E66" s="9"/>
      <c r="J66" s="9"/>
      <c r="K66" s="9">
        <f t="shared" si="1"/>
        <v>0</v>
      </c>
      <c r="L66" s="16"/>
    </row>
    <row r="67" spans="1:12" ht="38.25">
      <c r="A67" s="2" t="s">
        <v>3556</v>
      </c>
      <c r="B67" s="12" t="s">
        <v>3510</v>
      </c>
      <c r="C67" s="51"/>
      <c r="D67" s="43"/>
      <c r="E67" s="44"/>
      <c r="F67" s="8"/>
      <c r="G67" s="23" t="s">
        <v>3983</v>
      </c>
      <c r="H67" s="43">
        <f>AVERAGE(F68:F69)</f>
        <v>8.3056478405315604E-3</v>
      </c>
      <c r="I67" s="8"/>
      <c r="J67" s="44"/>
      <c r="K67" s="9">
        <f t="shared" si="1"/>
        <v>0</v>
      </c>
      <c r="L67" s="43"/>
    </row>
    <row r="68" spans="1:12" ht="12.75" customHeight="1">
      <c r="A68" s="1" t="s">
        <v>3557</v>
      </c>
      <c r="B68" s="7">
        <v>30.1</v>
      </c>
      <c r="C68" s="7">
        <v>30.1</v>
      </c>
      <c r="D68" s="16">
        <f t="shared" si="0"/>
        <v>0</v>
      </c>
      <c r="E68" s="9">
        <v>30.1</v>
      </c>
      <c r="F68" s="16">
        <f>(C68-E68)/E68</f>
        <v>0</v>
      </c>
      <c r="J68" s="9"/>
      <c r="K68" s="9">
        <f t="shared" si="1"/>
        <v>0</v>
      </c>
      <c r="L68" s="16"/>
    </row>
    <row r="69" spans="1:12" ht="12.75" customHeight="1">
      <c r="A69" s="1" t="s">
        <v>3683</v>
      </c>
      <c r="B69" s="7">
        <v>30.6</v>
      </c>
      <c r="C69" s="7">
        <v>30.6</v>
      </c>
      <c r="D69" s="16">
        <f t="shared" si="0"/>
        <v>0</v>
      </c>
      <c r="E69" s="9">
        <v>30.1</v>
      </c>
      <c r="F69" s="16">
        <f>(C69-E69)/E69</f>
        <v>1.6611295681063121E-2</v>
      </c>
      <c r="J69" s="9"/>
      <c r="K69" s="9">
        <f t="shared" si="1"/>
        <v>0</v>
      </c>
      <c r="L69" s="16"/>
    </row>
    <row r="70" spans="1:12">
      <c r="A70" s="143"/>
      <c r="B70" s="143"/>
      <c r="C70" s="7"/>
      <c r="D70" s="16"/>
      <c r="E70" s="9"/>
      <c r="J70" s="9"/>
      <c r="K70" s="9">
        <f t="shared" si="1"/>
        <v>0</v>
      </c>
      <c r="L70" s="16"/>
    </row>
    <row r="71" spans="1:12" ht="38.25">
      <c r="A71" s="2" t="s">
        <v>3684</v>
      </c>
      <c r="B71" s="12" t="s">
        <v>3908</v>
      </c>
      <c r="C71" s="51"/>
      <c r="D71" s="43"/>
      <c r="E71" s="44"/>
      <c r="F71" s="8"/>
      <c r="G71" s="23" t="s">
        <v>3983</v>
      </c>
      <c r="H71" s="43">
        <f>AVERAGE(F72:F74)</f>
        <v>3.8112164296998416E-2</v>
      </c>
      <c r="I71" s="8"/>
      <c r="J71" s="44"/>
      <c r="K71" s="9">
        <f t="shared" si="1"/>
        <v>0</v>
      </c>
      <c r="L71" s="43"/>
    </row>
    <row r="72" spans="1:12" ht="12.75" customHeight="1">
      <c r="A72" s="1" t="s">
        <v>3560</v>
      </c>
      <c r="B72" s="7">
        <v>33.76</v>
      </c>
      <c r="C72" s="7">
        <v>34.26</v>
      </c>
      <c r="D72" s="16">
        <f t="shared" ref="D72:D133" si="3">(C72-B72)/B72</f>
        <v>1.481042654028436E-2</v>
      </c>
      <c r="E72" s="9">
        <v>33.76</v>
      </c>
      <c r="F72" s="16">
        <f>(C72-E72)/E72</f>
        <v>1.481042654028436E-2</v>
      </c>
      <c r="J72" s="9"/>
      <c r="K72" s="9">
        <f t="shared" si="1"/>
        <v>0</v>
      </c>
      <c r="L72" s="16"/>
    </row>
    <row r="73" spans="1:12" ht="12.75" customHeight="1">
      <c r="A73" s="1" t="s">
        <v>3909</v>
      </c>
      <c r="B73" s="7">
        <v>34.76</v>
      </c>
      <c r="C73" s="7">
        <v>35.26</v>
      </c>
      <c r="D73" s="16">
        <f t="shared" si="3"/>
        <v>1.4384349827387804E-2</v>
      </c>
      <c r="E73" s="9">
        <v>33.76</v>
      </c>
      <c r="F73" s="16">
        <f>(C73-E73)/E73</f>
        <v>4.4431279620853081E-2</v>
      </c>
      <c r="J73" s="9"/>
      <c r="K73" s="9">
        <f t="shared" si="1"/>
        <v>0</v>
      </c>
      <c r="L73" s="16"/>
    </row>
    <row r="74" spans="1:12" ht="12.75" customHeight="1">
      <c r="A74" s="1" t="s">
        <v>3562</v>
      </c>
      <c r="B74" s="7">
        <v>35.119999999999997</v>
      </c>
      <c r="C74" s="7">
        <v>35.619999999999997</v>
      </c>
      <c r="D74" s="16">
        <f t="shared" si="3"/>
        <v>1.4236902050113897E-2</v>
      </c>
      <c r="E74" s="9">
        <v>33.76</v>
      </c>
      <c r="F74" s="16">
        <f>(C74-E74)/E74</f>
        <v>5.5094786729857806E-2</v>
      </c>
      <c r="J74" s="9"/>
      <c r="K74" s="9">
        <f t="shared" si="1"/>
        <v>0</v>
      </c>
      <c r="L74" s="16"/>
    </row>
    <row r="75" spans="1:12">
      <c r="A75" s="1"/>
      <c r="B75" s="7"/>
      <c r="C75" s="7"/>
      <c r="D75" s="16"/>
      <c r="E75" s="9"/>
      <c r="J75" s="9"/>
      <c r="K75" s="9">
        <f t="shared" si="1"/>
        <v>0</v>
      </c>
      <c r="L75" s="16"/>
    </row>
    <row r="76" spans="1:12" ht="53.25" customHeight="1">
      <c r="A76" s="2" t="s">
        <v>3563</v>
      </c>
      <c r="B76" s="12" t="s">
        <v>3564</v>
      </c>
      <c r="C76" s="31"/>
      <c r="D76" s="43"/>
      <c r="E76" s="44"/>
      <c r="F76" s="8"/>
      <c r="G76" s="23" t="s">
        <v>3983</v>
      </c>
      <c r="H76" s="43">
        <f>AVERAGE(F77:F79)</f>
        <v>4.7984644913627604E-2</v>
      </c>
      <c r="I76" s="8"/>
      <c r="J76" s="44"/>
      <c r="K76" s="9">
        <f t="shared" si="1"/>
        <v>0</v>
      </c>
      <c r="L76" s="43"/>
    </row>
    <row r="77" spans="1:12" ht="12.75" customHeight="1">
      <c r="A77" s="1" t="s">
        <v>3565</v>
      </c>
      <c r="B77" s="7">
        <v>54.38</v>
      </c>
      <c r="C77" s="7">
        <v>56.74</v>
      </c>
      <c r="D77" s="16">
        <f t="shared" si="3"/>
        <v>4.3398308201544673E-2</v>
      </c>
      <c r="E77" s="9">
        <v>57.31</v>
      </c>
      <c r="F77" s="16">
        <f>(C77-E77)/E77</f>
        <v>-9.9459082184610061E-3</v>
      </c>
      <c r="J77" s="9"/>
      <c r="K77" s="9">
        <f t="shared" si="1"/>
        <v>0</v>
      </c>
      <c r="L77" s="16"/>
    </row>
    <row r="78" spans="1:12" ht="12.75" customHeight="1">
      <c r="A78" s="1" t="s">
        <v>3566</v>
      </c>
      <c r="B78" s="7">
        <v>57.68</v>
      </c>
      <c r="C78" s="7">
        <v>60.04</v>
      </c>
      <c r="D78" s="16">
        <f t="shared" si="3"/>
        <v>4.0915395284327312E-2</v>
      </c>
      <c r="E78" s="9">
        <v>57.31</v>
      </c>
      <c r="F78" s="16">
        <f>(C78-E78)/E78</f>
        <v>4.7635665677892111E-2</v>
      </c>
      <c r="J78" s="9"/>
      <c r="K78" s="9">
        <f t="shared" si="1"/>
        <v>0</v>
      </c>
      <c r="L78" s="16"/>
    </row>
    <row r="79" spans="1:12" ht="12.75" customHeight="1">
      <c r="A79" s="1" t="s">
        <v>3567</v>
      </c>
      <c r="B79" s="7">
        <v>61.04</v>
      </c>
      <c r="C79" s="7">
        <v>63.4</v>
      </c>
      <c r="D79" s="16">
        <f t="shared" si="3"/>
        <v>3.8663171690694616E-2</v>
      </c>
      <c r="E79" s="9">
        <v>57.31</v>
      </c>
      <c r="F79" s="16">
        <f>(C79-E79)/E79</f>
        <v>0.10626417728145168</v>
      </c>
      <c r="J79" s="9"/>
      <c r="K79" s="9">
        <f t="shared" si="1"/>
        <v>0</v>
      </c>
      <c r="L79" s="16"/>
    </row>
    <row r="80" spans="1:12">
      <c r="A80" s="143"/>
      <c r="B80" s="143"/>
      <c r="C80" s="7"/>
      <c r="D80" s="16"/>
      <c r="E80" s="9"/>
      <c r="J80" s="9"/>
      <c r="K80" s="9">
        <f t="shared" si="1"/>
        <v>0</v>
      </c>
      <c r="L80" s="16"/>
    </row>
    <row r="81" spans="1:12" ht="25.5" customHeight="1">
      <c r="A81" s="2" t="s">
        <v>3686</v>
      </c>
      <c r="B81" s="147" t="s">
        <v>3510</v>
      </c>
      <c r="C81" s="51"/>
      <c r="D81" s="43"/>
      <c r="E81" s="44"/>
      <c r="F81" s="8"/>
      <c r="G81" s="23" t="s">
        <v>3983</v>
      </c>
      <c r="H81" s="43">
        <f>AVERAGE(F83:F96)</f>
        <v>-7.961023631934459E-3</v>
      </c>
      <c r="I81" s="8"/>
      <c r="J81" s="44"/>
      <c r="K81" s="9">
        <f t="shared" ref="K81:K144" si="4">J81*1.4</f>
        <v>0</v>
      </c>
      <c r="L81" s="43"/>
    </row>
    <row r="82" spans="1:12" ht="12.75" customHeight="1">
      <c r="A82" s="3" t="s">
        <v>3569</v>
      </c>
      <c r="B82" s="147"/>
      <c r="D82" s="16"/>
      <c r="E82" s="9"/>
      <c r="J82" s="9"/>
      <c r="K82" s="9">
        <f t="shared" si="4"/>
        <v>0</v>
      </c>
      <c r="L82" s="16"/>
    </row>
    <row r="83" spans="1:12" ht="12.75" customHeight="1">
      <c r="A83" s="1" t="s">
        <v>3571</v>
      </c>
      <c r="B83" s="7">
        <v>25.66</v>
      </c>
      <c r="C83" s="7">
        <v>25.66</v>
      </c>
      <c r="D83" s="16">
        <f t="shared" si="3"/>
        <v>0</v>
      </c>
      <c r="E83" s="9">
        <v>30.63</v>
      </c>
      <c r="F83" s="16">
        <f t="shared" ref="F83:F96" si="5">(C83-E83)/E83</f>
        <v>-0.16225922298400258</v>
      </c>
      <c r="J83" s="9">
        <v>15.94</v>
      </c>
      <c r="K83" s="9">
        <f t="shared" si="4"/>
        <v>22.315999999999999</v>
      </c>
      <c r="L83" s="16">
        <f>(C83-K83)/K83</f>
        <v>0.14984764294676473</v>
      </c>
    </row>
    <row r="84" spans="1:12" ht="12.75" customHeight="1">
      <c r="A84" s="1" t="s">
        <v>3572</v>
      </c>
      <c r="B84" s="7">
        <v>27.16</v>
      </c>
      <c r="C84" s="7">
        <v>27.16</v>
      </c>
      <c r="D84" s="16">
        <f t="shared" si="3"/>
        <v>0</v>
      </c>
      <c r="E84" s="9">
        <v>30.63</v>
      </c>
      <c r="F84" s="16">
        <f t="shared" si="5"/>
        <v>-0.11328762650995752</v>
      </c>
      <c r="J84" s="9">
        <v>15.94</v>
      </c>
      <c r="K84" s="9">
        <f t="shared" si="4"/>
        <v>22.315999999999999</v>
      </c>
      <c r="L84" s="16">
        <f t="shared" ref="L84:L96" si="6">(C84-K84)/K84</f>
        <v>0.2170639899623589</v>
      </c>
    </row>
    <row r="85" spans="1:12" ht="12.75" customHeight="1">
      <c r="A85" s="1" t="s">
        <v>3573</v>
      </c>
      <c r="B85" s="7">
        <v>30.82</v>
      </c>
      <c r="C85" s="7">
        <v>30.82</v>
      </c>
      <c r="D85" s="16">
        <f t="shared" si="3"/>
        <v>0</v>
      </c>
      <c r="E85" s="9">
        <v>30.63</v>
      </c>
      <c r="F85" s="16">
        <f t="shared" si="5"/>
        <v>6.2030688867124152E-3</v>
      </c>
      <c r="J85" s="9">
        <v>15.94</v>
      </c>
      <c r="K85" s="9">
        <f t="shared" si="4"/>
        <v>22.315999999999999</v>
      </c>
      <c r="L85" s="16">
        <f t="shared" si="6"/>
        <v>0.38107187668040876</v>
      </c>
    </row>
    <row r="86" spans="1:12" ht="12.75" customHeight="1">
      <c r="A86" s="1" t="s">
        <v>3574</v>
      </c>
      <c r="B86" s="7">
        <v>27.95</v>
      </c>
      <c r="C86" s="7">
        <v>27.95</v>
      </c>
      <c r="D86" s="16">
        <f t="shared" si="3"/>
        <v>0</v>
      </c>
      <c r="E86" s="9">
        <v>30.63</v>
      </c>
      <c r="F86" s="16">
        <f t="shared" si="5"/>
        <v>-8.7495919033627162E-2</v>
      </c>
      <c r="J86" s="9">
        <v>15.94</v>
      </c>
      <c r="K86" s="9">
        <f t="shared" si="4"/>
        <v>22.315999999999999</v>
      </c>
      <c r="L86" s="16">
        <f t="shared" si="6"/>
        <v>0.25246459939057181</v>
      </c>
    </row>
    <row r="87" spans="1:12" ht="12.75" customHeight="1">
      <c r="A87" s="1" t="s">
        <v>3575</v>
      </c>
      <c r="B87" s="7">
        <v>30.92</v>
      </c>
      <c r="C87" s="7">
        <v>30.92</v>
      </c>
      <c r="D87" s="16">
        <f t="shared" si="3"/>
        <v>0</v>
      </c>
      <c r="E87" s="9">
        <v>30.63</v>
      </c>
      <c r="F87" s="16">
        <f t="shared" si="5"/>
        <v>9.4678419849821317E-3</v>
      </c>
      <c r="J87" s="9">
        <v>15.94</v>
      </c>
      <c r="K87" s="9">
        <f t="shared" si="4"/>
        <v>22.315999999999999</v>
      </c>
      <c r="L87" s="16">
        <f t="shared" si="6"/>
        <v>0.38555296648144843</v>
      </c>
    </row>
    <row r="88" spans="1:12" ht="12.75" customHeight="1">
      <c r="A88" s="1" t="s">
        <v>3576</v>
      </c>
      <c r="B88" s="7">
        <v>31.07</v>
      </c>
      <c r="C88" s="7">
        <v>31.07</v>
      </c>
      <c r="D88" s="16">
        <f t="shared" si="3"/>
        <v>0</v>
      </c>
      <c r="E88" s="9">
        <v>30.63</v>
      </c>
      <c r="F88" s="16">
        <f t="shared" si="5"/>
        <v>1.4365001632386592E-2</v>
      </c>
      <c r="J88" s="9">
        <v>15.94</v>
      </c>
      <c r="K88" s="9">
        <f t="shared" si="4"/>
        <v>22.315999999999999</v>
      </c>
      <c r="L88" s="16">
        <f t="shared" si="6"/>
        <v>0.39227460118300778</v>
      </c>
    </row>
    <row r="89" spans="1:12" ht="12.75" customHeight="1">
      <c r="A89" s="1" t="s">
        <v>3577</v>
      </c>
      <c r="B89" s="7">
        <v>31.32</v>
      </c>
      <c r="C89" s="7">
        <v>31.32</v>
      </c>
      <c r="D89" s="16">
        <f t="shared" si="3"/>
        <v>0</v>
      </c>
      <c r="E89" s="9">
        <v>30.63</v>
      </c>
      <c r="F89" s="16">
        <f t="shared" si="5"/>
        <v>2.2526934378060769E-2</v>
      </c>
      <c r="J89" s="9">
        <v>15.94</v>
      </c>
      <c r="K89" s="9">
        <f t="shared" si="4"/>
        <v>22.315999999999999</v>
      </c>
      <c r="L89" s="16">
        <f t="shared" si="6"/>
        <v>0.40347732568560679</v>
      </c>
    </row>
    <row r="90" spans="1:12" ht="12.75" customHeight="1">
      <c r="A90" s="1" t="s">
        <v>3578</v>
      </c>
      <c r="B90" s="7">
        <v>32.57</v>
      </c>
      <c r="C90" s="7">
        <v>32.57</v>
      </c>
      <c r="D90" s="16">
        <f t="shared" si="3"/>
        <v>0</v>
      </c>
      <c r="E90" s="9">
        <v>30.63</v>
      </c>
      <c r="F90" s="16">
        <f t="shared" si="5"/>
        <v>6.3336598106431649E-2</v>
      </c>
      <c r="J90" s="9">
        <v>15.94</v>
      </c>
      <c r="K90" s="9">
        <f t="shared" si="4"/>
        <v>22.315999999999999</v>
      </c>
      <c r="L90" s="16">
        <f t="shared" si="6"/>
        <v>0.45949094819860198</v>
      </c>
    </row>
    <row r="91" spans="1:12" ht="12.75" customHeight="1">
      <c r="A91" s="1" t="s">
        <v>3579</v>
      </c>
      <c r="B91" s="7">
        <v>31.62</v>
      </c>
      <c r="C91" s="7">
        <v>31.62</v>
      </c>
      <c r="D91" s="16">
        <f t="shared" si="3"/>
        <v>0</v>
      </c>
      <c r="E91" s="9">
        <v>30.63</v>
      </c>
      <c r="F91" s="16">
        <f t="shared" si="5"/>
        <v>3.2321253672869803E-2</v>
      </c>
      <c r="J91" s="9">
        <v>15.94</v>
      </c>
      <c r="K91" s="9">
        <f t="shared" si="4"/>
        <v>22.315999999999999</v>
      </c>
      <c r="L91" s="16">
        <f t="shared" si="6"/>
        <v>0.4169205950887257</v>
      </c>
    </row>
    <row r="92" spans="1:12" ht="12.75" customHeight="1">
      <c r="A92" s="1" t="s">
        <v>3580</v>
      </c>
      <c r="B92" s="7"/>
      <c r="C92" s="7"/>
      <c r="D92" s="16"/>
      <c r="E92" s="9"/>
      <c r="J92" s="9"/>
      <c r="K92" s="9">
        <f t="shared" si="4"/>
        <v>0</v>
      </c>
      <c r="L92" s="16"/>
    </row>
    <row r="93" spans="1:12" ht="12.75" customHeight="1">
      <c r="A93" s="1" t="s">
        <v>3581</v>
      </c>
      <c r="B93" s="7">
        <v>31.62</v>
      </c>
      <c r="C93" s="7">
        <v>31.62</v>
      </c>
      <c r="D93" s="16">
        <f t="shared" si="3"/>
        <v>0</v>
      </c>
      <c r="E93" s="9">
        <v>30.63</v>
      </c>
      <c r="F93" s="16">
        <f t="shared" si="5"/>
        <v>3.2321253672869803E-2</v>
      </c>
      <c r="J93" s="9">
        <v>15.94</v>
      </c>
      <c r="K93" s="9">
        <f t="shared" si="4"/>
        <v>22.315999999999999</v>
      </c>
      <c r="L93" s="16">
        <f t="shared" si="6"/>
        <v>0.4169205950887257</v>
      </c>
    </row>
    <row r="94" spans="1:12" ht="12.75" customHeight="1">
      <c r="A94" s="1" t="s">
        <v>3582</v>
      </c>
      <c r="B94" s="7">
        <v>31.32</v>
      </c>
      <c r="C94" s="7">
        <v>31.32</v>
      </c>
      <c r="D94" s="16">
        <f t="shared" si="3"/>
        <v>0</v>
      </c>
      <c r="E94" s="9">
        <v>30.63</v>
      </c>
      <c r="F94" s="16">
        <f t="shared" si="5"/>
        <v>2.2526934378060769E-2</v>
      </c>
      <c r="J94" s="9">
        <v>15.94</v>
      </c>
      <c r="K94" s="9">
        <f t="shared" si="4"/>
        <v>22.315999999999999</v>
      </c>
      <c r="L94" s="16">
        <f t="shared" si="6"/>
        <v>0.40347732568560679</v>
      </c>
    </row>
    <row r="95" spans="1:12" ht="12.75" customHeight="1">
      <c r="A95" s="1" t="s">
        <v>3583</v>
      </c>
      <c r="B95" s="7">
        <v>30.97</v>
      </c>
      <c r="C95" s="7">
        <v>30.97</v>
      </c>
      <c r="D95" s="16">
        <f t="shared" si="3"/>
        <v>0</v>
      </c>
      <c r="E95" s="9">
        <v>30.63</v>
      </c>
      <c r="F95" s="16">
        <f t="shared" si="5"/>
        <v>1.1100228534116874E-2</v>
      </c>
      <c r="J95" s="9">
        <v>15.94</v>
      </c>
      <c r="K95" s="9">
        <f t="shared" si="4"/>
        <v>22.315999999999999</v>
      </c>
      <c r="L95" s="16">
        <f t="shared" si="6"/>
        <v>0.3877935113819681</v>
      </c>
    </row>
    <row r="96" spans="1:12" ht="12.75" customHeight="1">
      <c r="A96" s="1" t="s">
        <v>3584</v>
      </c>
      <c r="B96" s="7">
        <v>32.020000000000003</v>
      </c>
      <c r="C96" s="7">
        <v>32.020000000000003</v>
      </c>
      <c r="D96" s="16">
        <f t="shared" si="3"/>
        <v>0</v>
      </c>
      <c r="E96" s="9">
        <v>30.63</v>
      </c>
      <c r="F96" s="16">
        <f t="shared" si="5"/>
        <v>4.5380346065948554E-2</v>
      </c>
      <c r="J96" s="9">
        <v>15.94</v>
      </c>
      <c r="K96" s="9">
        <f t="shared" si="4"/>
        <v>22.315999999999999</v>
      </c>
      <c r="L96" s="16">
        <f t="shared" si="6"/>
        <v>0.43484495429288422</v>
      </c>
    </row>
    <row r="97" spans="1:12">
      <c r="A97" s="143"/>
      <c r="B97" s="143"/>
      <c r="C97" s="7"/>
      <c r="D97" s="16"/>
      <c r="E97" s="9"/>
      <c r="J97" s="9"/>
      <c r="K97" s="9">
        <f t="shared" si="4"/>
        <v>0</v>
      </c>
      <c r="L97" s="16"/>
    </row>
    <row r="98" spans="1:12" ht="38.25">
      <c r="A98" s="2" t="s">
        <v>3585</v>
      </c>
      <c r="B98" s="12" t="s">
        <v>3689</v>
      </c>
      <c r="C98" s="31"/>
      <c r="D98" s="43"/>
      <c r="E98" s="44"/>
      <c r="F98" s="8"/>
      <c r="G98" s="23" t="s">
        <v>3983</v>
      </c>
      <c r="H98" s="43">
        <f>AVERAGE(F99:F101)</f>
        <v>-7.6331395690213549E-4</v>
      </c>
      <c r="I98" s="8"/>
      <c r="J98" s="44"/>
      <c r="K98" s="9">
        <f t="shared" si="4"/>
        <v>0</v>
      </c>
      <c r="L98" s="43"/>
    </row>
    <row r="99" spans="1:12" ht="12.75" customHeight="1">
      <c r="A99" s="1" t="s">
        <v>3587</v>
      </c>
      <c r="B99" s="7">
        <v>57.06</v>
      </c>
      <c r="C99" s="7">
        <v>54.56</v>
      </c>
      <c r="D99" s="16">
        <f t="shared" si="3"/>
        <v>-4.3813529617946018E-2</v>
      </c>
      <c r="E99" s="9">
        <v>56.77</v>
      </c>
      <c r="F99" s="16">
        <f>(C99-E99)/E99</f>
        <v>-3.8929011802008119E-2</v>
      </c>
      <c r="J99" s="9"/>
      <c r="K99" s="9">
        <f t="shared" si="4"/>
        <v>0</v>
      </c>
      <c r="L99" s="16"/>
    </row>
    <row r="100" spans="1:12" ht="12.75" customHeight="1">
      <c r="A100" s="1" t="s">
        <v>3588</v>
      </c>
      <c r="B100" s="7">
        <v>59.56</v>
      </c>
      <c r="C100" s="7">
        <v>57.06</v>
      </c>
      <c r="D100" s="16">
        <f t="shared" si="3"/>
        <v>-4.1974479516453993E-2</v>
      </c>
      <c r="E100" s="9">
        <v>56.77</v>
      </c>
      <c r="F100" s="16">
        <f>(C100-E100)/E100</f>
        <v>5.1083318654218625E-3</v>
      </c>
      <c r="J100" s="9"/>
      <c r="K100" s="9">
        <f t="shared" si="4"/>
        <v>0</v>
      </c>
      <c r="L100" s="16"/>
    </row>
    <row r="101" spans="1:12" ht="12.75" customHeight="1">
      <c r="A101" s="1" t="s">
        <v>3589</v>
      </c>
      <c r="B101" s="7">
        <v>61.06</v>
      </c>
      <c r="C101" s="7">
        <v>58.56</v>
      </c>
      <c r="D101" s="16">
        <f t="shared" si="3"/>
        <v>-4.0943334425155582E-2</v>
      </c>
      <c r="E101" s="9">
        <v>56.77</v>
      </c>
      <c r="F101" s="16">
        <f>(C101-E101)/E101</f>
        <v>3.1530738065879853E-2</v>
      </c>
      <c r="J101" s="9"/>
      <c r="K101" s="9">
        <f t="shared" si="4"/>
        <v>0</v>
      </c>
      <c r="L101" s="16"/>
    </row>
    <row r="102" spans="1:12">
      <c r="A102" s="143"/>
      <c r="B102" s="143"/>
      <c r="C102" s="7"/>
      <c r="D102" s="16"/>
      <c r="E102" s="9"/>
      <c r="J102" s="9"/>
      <c r="K102" s="9">
        <f t="shared" si="4"/>
        <v>0</v>
      </c>
      <c r="L102" s="16"/>
    </row>
    <row r="103" spans="1:12" ht="12.75" customHeight="1">
      <c r="A103" s="2" t="s">
        <v>3910</v>
      </c>
      <c r="B103" s="7"/>
      <c r="C103" s="31"/>
      <c r="D103" s="43"/>
      <c r="E103" s="44"/>
      <c r="F103" s="8"/>
      <c r="G103" s="23" t="s">
        <v>3984</v>
      </c>
      <c r="H103" s="8"/>
      <c r="I103" s="43">
        <f>AVERAGE(F104)</f>
        <v>0</v>
      </c>
      <c r="J103" s="44"/>
      <c r="K103" s="9">
        <f t="shared" si="4"/>
        <v>0</v>
      </c>
      <c r="L103" s="43"/>
    </row>
    <row r="104" spans="1:12" ht="12.75" customHeight="1">
      <c r="A104" s="1" t="s">
        <v>3591</v>
      </c>
      <c r="B104" s="7">
        <v>49.7</v>
      </c>
      <c r="C104" s="7">
        <v>25.01</v>
      </c>
      <c r="D104" s="16">
        <f t="shared" si="3"/>
        <v>-0.49678068410462778</v>
      </c>
      <c r="E104" s="9">
        <v>25.01</v>
      </c>
      <c r="F104" s="16">
        <f>(C104-E104)/E104</f>
        <v>0</v>
      </c>
      <c r="J104" s="9"/>
      <c r="K104" s="9">
        <f t="shared" si="4"/>
        <v>0</v>
      </c>
      <c r="L104" s="16"/>
    </row>
    <row r="105" spans="1:12">
      <c r="A105" s="143"/>
      <c r="B105" s="143"/>
      <c r="C105" s="7"/>
      <c r="D105" s="16"/>
      <c r="E105" s="9"/>
      <c r="J105" s="9"/>
      <c r="K105" s="9">
        <f t="shared" si="4"/>
        <v>0</v>
      </c>
      <c r="L105" s="16"/>
    </row>
    <row r="106" spans="1:12" ht="25.5" customHeight="1">
      <c r="A106" s="2" t="s">
        <v>3911</v>
      </c>
      <c r="B106" s="147" t="s">
        <v>3912</v>
      </c>
      <c r="C106" s="51"/>
      <c r="D106" s="43"/>
      <c r="E106" s="44"/>
      <c r="F106" s="8"/>
      <c r="G106" s="23" t="s">
        <v>3983</v>
      </c>
      <c r="H106" s="43">
        <f>AVERAGE(F108:F159)</f>
        <v>8.8751982432597215E-2</v>
      </c>
      <c r="I106" s="8"/>
      <c r="J106" s="44"/>
      <c r="K106" s="9">
        <f t="shared" si="4"/>
        <v>0</v>
      </c>
      <c r="L106" s="43"/>
    </row>
    <row r="107" spans="1:12" ht="12.75" customHeight="1">
      <c r="A107" s="3" t="s">
        <v>3569</v>
      </c>
      <c r="B107" s="147"/>
      <c r="C107" s="12"/>
      <c r="D107" s="16"/>
      <c r="E107" s="9"/>
      <c r="J107" s="9"/>
      <c r="K107" s="9">
        <f t="shared" si="4"/>
        <v>0</v>
      </c>
      <c r="L107" s="16"/>
    </row>
    <row r="108" spans="1:12" ht="12.75" customHeight="1">
      <c r="A108" s="1" t="s">
        <v>3573</v>
      </c>
      <c r="B108" s="7">
        <v>41.33</v>
      </c>
      <c r="C108" s="7">
        <v>43.08</v>
      </c>
      <c r="D108" s="16">
        <f t="shared" si="3"/>
        <v>4.2342124364868138E-2</v>
      </c>
      <c r="E108" s="9">
        <v>46.84</v>
      </c>
      <c r="F108" s="16">
        <f t="shared" ref="F108:F123" si="7">(C108-E108)/E108</f>
        <v>-8.0273270708796002E-2</v>
      </c>
      <c r="J108" s="9">
        <v>22.08</v>
      </c>
      <c r="K108" s="9">
        <f t="shared" si="4"/>
        <v>30.911999999999995</v>
      </c>
      <c r="L108" s="16">
        <f>(C108-K108)/K108</f>
        <v>0.39363354037267095</v>
      </c>
    </row>
    <row r="109" spans="1:12" ht="12.75" customHeight="1">
      <c r="A109" s="1" t="s">
        <v>3574</v>
      </c>
      <c r="B109" s="7">
        <v>44.09</v>
      </c>
      <c r="C109" s="7">
        <v>45.84</v>
      </c>
      <c r="D109" s="16">
        <f t="shared" si="3"/>
        <v>3.9691540031753229E-2</v>
      </c>
      <c r="E109" s="9">
        <v>46.84</v>
      </c>
      <c r="F109" s="16">
        <f t="shared" si="7"/>
        <v>-2.1349274124679761E-2</v>
      </c>
      <c r="J109" s="9">
        <v>22.08</v>
      </c>
      <c r="K109" s="9">
        <f t="shared" si="4"/>
        <v>30.911999999999995</v>
      </c>
      <c r="L109" s="16">
        <f t="shared" ref="L109:L123" si="8">(C109-K109)/K109</f>
        <v>0.48291925465838542</v>
      </c>
    </row>
    <row r="110" spans="1:12" ht="12.75" customHeight="1">
      <c r="A110" s="1" t="s">
        <v>3575</v>
      </c>
      <c r="B110" s="7">
        <v>44.62</v>
      </c>
      <c r="C110" s="7">
        <v>46.37</v>
      </c>
      <c r="D110" s="16">
        <f t="shared" si="3"/>
        <v>3.9220080681308833E-2</v>
      </c>
      <c r="E110" s="9">
        <v>46.84</v>
      </c>
      <c r="F110" s="16">
        <f t="shared" si="7"/>
        <v>-1.0034158838599615E-2</v>
      </c>
      <c r="J110" s="9">
        <v>22.08</v>
      </c>
      <c r="K110" s="9">
        <f t="shared" si="4"/>
        <v>30.911999999999995</v>
      </c>
      <c r="L110" s="16">
        <f t="shared" si="8"/>
        <v>0.50006469979296075</v>
      </c>
    </row>
    <row r="111" spans="1:12" ht="12.75" customHeight="1">
      <c r="A111" s="1" t="s">
        <v>3576</v>
      </c>
      <c r="B111" s="7">
        <v>44.89</v>
      </c>
      <c r="C111" s="7">
        <v>46.64</v>
      </c>
      <c r="D111" s="16">
        <f t="shared" si="3"/>
        <v>3.8984183559812875E-2</v>
      </c>
      <c r="E111" s="9">
        <v>46.84</v>
      </c>
      <c r="F111" s="16">
        <f t="shared" si="7"/>
        <v>-4.2698548249360127E-3</v>
      </c>
      <c r="J111" s="9">
        <v>22.08</v>
      </c>
      <c r="K111" s="9">
        <f t="shared" si="4"/>
        <v>30.911999999999995</v>
      </c>
      <c r="L111" s="16">
        <f t="shared" si="8"/>
        <v>0.50879917184265033</v>
      </c>
    </row>
    <row r="112" spans="1:12" ht="12.75" customHeight="1">
      <c r="A112" s="1" t="s">
        <v>3577</v>
      </c>
      <c r="B112" s="7">
        <v>45.63</v>
      </c>
      <c r="C112" s="7">
        <v>47.38</v>
      </c>
      <c r="D112" s="16">
        <f t="shared" si="3"/>
        <v>3.8351961428884501E-2</v>
      </c>
      <c r="E112" s="9">
        <v>46.84</v>
      </c>
      <c r="F112" s="16">
        <f t="shared" si="7"/>
        <v>1.1528608027327051E-2</v>
      </c>
      <c r="J112" s="9">
        <v>22.08</v>
      </c>
      <c r="K112" s="9">
        <f t="shared" si="4"/>
        <v>30.911999999999995</v>
      </c>
      <c r="L112" s="16">
        <f t="shared" si="8"/>
        <v>0.53273809523809557</v>
      </c>
    </row>
    <row r="113" spans="1:12" ht="12.75" customHeight="1">
      <c r="A113" s="1" t="s">
        <v>3579</v>
      </c>
      <c r="B113" s="7">
        <v>45.93</v>
      </c>
      <c r="C113" s="7">
        <v>47.68</v>
      </c>
      <c r="D113" s="16">
        <f t="shared" si="3"/>
        <v>3.8101458741563246E-2</v>
      </c>
      <c r="E113" s="9">
        <v>46.84</v>
      </c>
      <c r="F113" s="16">
        <f t="shared" si="7"/>
        <v>1.7933390264730918E-2</v>
      </c>
      <c r="J113" s="9">
        <v>22.08</v>
      </c>
      <c r="K113" s="9">
        <f t="shared" si="4"/>
        <v>30.911999999999995</v>
      </c>
      <c r="L113" s="16">
        <f t="shared" si="8"/>
        <v>0.54244306418219479</v>
      </c>
    </row>
    <row r="114" spans="1:12" ht="12.75" customHeight="1">
      <c r="A114" s="1" t="s">
        <v>3580</v>
      </c>
      <c r="B114" s="7">
        <v>46.1</v>
      </c>
      <c r="C114" s="7">
        <v>47.85</v>
      </c>
      <c r="D114" s="16">
        <f t="shared" si="3"/>
        <v>3.7960954446854663E-2</v>
      </c>
      <c r="E114" s="9">
        <v>46.84</v>
      </c>
      <c r="F114" s="16">
        <f t="shared" si="7"/>
        <v>2.1562766865926515E-2</v>
      </c>
      <c r="J114" s="9">
        <v>22.08</v>
      </c>
      <c r="K114" s="9">
        <f t="shared" si="4"/>
        <v>30.911999999999995</v>
      </c>
      <c r="L114" s="16">
        <f t="shared" si="8"/>
        <v>0.54794254658385122</v>
      </c>
    </row>
    <row r="115" spans="1:12" ht="12.75" customHeight="1">
      <c r="A115" s="1" t="s">
        <v>3593</v>
      </c>
      <c r="B115" s="7">
        <v>46.35</v>
      </c>
      <c r="C115" s="7">
        <v>48.1</v>
      </c>
      <c r="D115" s="16">
        <f t="shared" si="3"/>
        <v>3.7756202804746494E-2</v>
      </c>
      <c r="E115" s="9">
        <v>46.84</v>
      </c>
      <c r="F115" s="16">
        <f t="shared" si="7"/>
        <v>2.6900085397096454E-2</v>
      </c>
      <c r="J115" s="9">
        <v>22.08</v>
      </c>
      <c r="K115" s="9">
        <f t="shared" si="4"/>
        <v>30.911999999999995</v>
      </c>
      <c r="L115" s="16">
        <f t="shared" si="8"/>
        <v>0.55603002070393404</v>
      </c>
    </row>
    <row r="116" spans="1:12" ht="12.75" customHeight="1">
      <c r="A116" s="1" t="s">
        <v>3594</v>
      </c>
      <c r="B116" s="7">
        <v>46.94</v>
      </c>
      <c r="C116" s="7">
        <v>48.69</v>
      </c>
      <c r="D116" s="16">
        <f t="shared" si="3"/>
        <v>3.7281636131231359E-2</v>
      </c>
      <c r="E116" s="9">
        <v>46.84</v>
      </c>
      <c r="F116" s="16">
        <f t="shared" si="7"/>
        <v>3.9496157130657433E-2</v>
      </c>
      <c r="J116" s="9">
        <v>22.08</v>
      </c>
      <c r="K116" s="9">
        <f t="shared" si="4"/>
        <v>30.911999999999995</v>
      </c>
      <c r="L116" s="16">
        <f t="shared" si="8"/>
        <v>0.57511645962732938</v>
      </c>
    </row>
    <row r="117" spans="1:12" ht="12.75" customHeight="1">
      <c r="A117" s="1" t="s">
        <v>3595</v>
      </c>
      <c r="B117" s="7">
        <v>47.26</v>
      </c>
      <c r="C117" s="7">
        <v>49.01</v>
      </c>
      <c r="D117" s="16">
        <f t="shared" si="3"/>
        <v>3.7029200169276348E-2</v>
      </c>
      <c r="E117" s="9">
        <v>46.84</v>
      </c>
      <c r="F117" s="16">
        <f t="shared" si="7"/>
        <v>4.6327924850554959E-2</v>
      </c>
      <c r="J117" s="9">
        <v>22.08</v>
      </c>
      <c r="K117" s="9">
        <f t="shared" si="4"/>
        <v>30.911999999999995</v>
      </c>
      <c r="L117" s="16">
        <f t="shared" si="8"/>
        <v>0.58546842650103537</v>
      </c>
    </row>
    <row r="118" spans="1:12" ht="12.75" customHeight="1">
      <c r="A118" s="1" t="s">
        <v>3596</v>
      </c>
      <c r="B118" s="7">
        <v>47.61</v>
      </c>
      <c r="C118" s="7">
        <v>49.36</v>
      </c>
      <c r="D118" s="16">
        <f t="shared" si="3"/>
        <v>3.6756983826927117E-2</v>
      </c>
      <c r="E118" s="9">
        <v>46.84</v>
      </c>
      <c r="F118" s="16">
        <f t="shared" si="7"/>
        <v>5.3800170794192907E-2</v>
      </c>
      <c r="J118" s="9">
        <v>22.08</v>
      </c>
      <c r="K118" s="9">
        <f t="shared" si="4"/>
        <v>30.911999999999995</v>
      </c>
      <c r="L118" s="16">
        <f t="shared" si="8"/>
        <v>0.59679089026915133</v>
      </c>
    </row>
    <row r="119" spans="1:12" ht="12.75" customHeight="1">
      <c r="A119" s="1" t="s">
        <v>3597</v>
      </c>
      <c r="B119" s="7">
        <v>47.8</v>
      </c>
      <c r="C119" s="7">
        <v>49.55</v>
      </c>
      <c r="D119" s="16">
        <f t="shared" si="3"/>
        <v>3.6610878661087871E-2</v>
      </c>
      <c r="E119" s="9">
        <v>46.84</v>
      </c>
      <c r="F119" s="16">
        <f t="shared" si="7"/>
        <v>5.7856532877882012E-2</v>
      </c>
      <c r="J119" s="9">
        <v>22.08</v>
      </c>
      <c r="K119" s="9">
        <f t="shared" si="4"/>
        <v>30.911999999999995</v>
      </c>
      <c r="L119" s="16">
        <f t="shared" si="8"/>
        <v>0.60293737060041419</v>
      </c>
    </row>
    <row r="120" spans="1:12" ht="12.75" customHeight="1">
      <c r="A120" s="1" t="s">
        <v>3598</v>
      </c>
      <c r="B120" s="7">
        <v>48.04</v>
      </c>
      <c r="C120" s="7">
        <v>49.79</v>
      </c>
      <c r="D120" s="16">
        <f t="shared" si="3"/>
        <v>3.6427976686094925E-2</v>
      </c>
      <c r="E120" s="9">
        <v>46.84</v>
      </c>
      <c r="F120" s="16">
        <f t="shared" si="7"/>
        <v>6.29803586678052E-2</v>
      </c>
      <c r="J120" s="9">
        <v>22.08</v>
      </c>
      <c r="K120" s="9">
        <f t="shared" si="4"/>
        <v>30.911999999999995</v>
      </c>
      <c r="L120" s="16">
        <f t="shared" si="8"/>
        <v>0.61070134575569379</v>
      </c>
    </row>
    <row r="121" spans="1:12" ht="12.75" customHeight="1">
      <c r="A121" s="1" t="s">
        <v>3599</v>
      </c>
      <c r="B121" s="7">
        <v>49.68</v>
      </c>
      <c r="C121" s="7">
        <v>51.43</v>
      </c>
      <c r="D121" s="16">
        <f t="shared" si="3"/>
        <v>3.5225442834138483E-2</v>
      </c>
      <c r="E121" s="9">
        <v>46.84</v>
      </c>
      <c r="F121" s="16">
        <f t="shared" si="7"/>
        <v>9.799316823228002E-2</v>
      </c>
      <c r="J121" s="9">
        <v>22.08</v>
      </c>
      <c r="K121" s="9">
        <f t="shared" si="4"/>
        <v>30.911999999999995</v>
      </c>
      <c r="L121" s="16">
        <f t="shared" si="8"/>
        <v>0.66375517598343714</v>
      </c>
    </row>
    <row r="122" spans="1:12" ht="12.75" customHeight="1">
      <c r="A122" s="1" t="s">
        <v>3600</v>
      </c>
      <c r="B122" s="7">
        <v>50.49</v>
      </c>
      <c r="C122" s="7">
        <v>52.24</v>
      </c>
      <c r="D122" s="16">
        <f t="shared" si="3"/>
        <v>3.4660328777975834E-2</v>
      </c>
      <c r="E122" s="9">
        <v>46.84</v>
      </c>
      <c r="F122" s="16">
        <f t="shared" si="7"/>
        <v>0.11528608027327067</v>
      </c>
      <c r="J122" s="9">
        <v>22.08</v>
      </c>
      <c r="K122" s="9">
        <f t="shared" si="4"/>
        <v>30.911999999999995</v>
      </c>
      <c r="L122" s="16">
        <f t="shared" si="8"/>
        <v>0.68995859213250543</v>
      </c>
    </row>
    <row r="123" spans="1:12" ht="12.75" customHeight="1">
      <c r="A123" s="1" t="s">
        <v>3601</v>
      </c>
      <c r="B123" s="7">
        <v>49.68</v>
      </c>
      <c r="C123" s="7">
        <v>51.43</v>
      </c>
      <c r="D123" s="16">
        <f t="shared" si="3"/>
        <v>3.5225442834138483E-2</v>
      </c>
      <c r="E123" s="9">
        <v>46.84</v>
      </c>
      <c r="F123" s="16">
        <f t="shared" si="7"/>
        <v>9.799316823228002E-2</v>
      </c>
      <c r="J123" s="9">
        <v>22.08</v>
      </c>
      <c r="K123" s="9">
        <f t="shared" si="4"/>
        <v>30.911999999999995</v>
      </c>
      <c r="L123" s="16">
        <f t="shared" si="8"/>
        <v>0.66375517598343714</v>
      </c>
    </row>
    <row r="124" spans="1:12" ht="12.75" customHeight="1">
      <c r="A124" s="1" t="s">
        <v>3602</v>
      </c>
      <c r="B124" s="11" t="s">
        <v>3534</v>
      </c>
      <c r="C124" s="11" t="s">
        <v>3534</v>
      </c>
      <c r="D124" s="16"/>
      <c r="E124" s="9"/>
      <c r="J124" s="9"/>
      <c r="K124" s="9">
        <f t="shared" si="4"/>
        <v>0</v>
      </c>
      <c r="L124" s="16"/>
    </row>
    <row r="125" spans="1:12" ht="12.75" customHeight="1">
      <c r="A125" s="1" t="s">
        <v>3603</v>
      </c>
      <c r="B125" s="11" t="s">
        <v>3534</v>
      </c>
      <c r="C125" s="11" t="s">
        <v>3534</v>
      </c>
      <c r="D125" s="16"/>
      <c r="E125" s="9"/>
      <c r="J125" s="9"/>
      <c r="K125" s="9">
        <f t="shared" si="4"/>
        <v>0</v>
      </c>
      <c r="L125" s="16"/>
    </row>
    <row r="126" spans="1:12">
      <c r="A126" s="143"/>
      <c r="B126" s="143"/>
      <c r="C126" s="7"/>
      <c r="D126" s="16"/>
      <c r="E126" s="9"/>
      <c r="J126" s="9"/>
      <c r="K126" s="9">
        <f t="shared" si="4"/>
        <v>0</v>
      </c>
      <c r="L126" s="16"/>
    </row>
    <row r="127" spans="1:12" ht="25.5" customHeight="1">
      <c r="A127" s="2" t="s">
        <v>3691</v>
      </c>
      <c r="B127" s="147" t="s">
        <v>3510</v>
      </c>
      <c r="C127" s="51"/>
      <c r="D127" s="43"/>
      <c r="E127" s="44"/>
      <c r="F127" s="8"/>
      <c r="G127" s="23"/>
      <c r="H127" s="8"/>
      <c r="I127" s="8"/>
      <c r="J127" s="44"/>
      <c r="K127" s="9">
        <f t="shared" si="4"/>
        <v>0</v>
      </c>
      <c r="L127" s="43"/>
    </row>
    <row r="128" spans="1:12" ht="12.75" customHeight="1">
      <c r="A128" s="3" t="s">
        <v>3569</v>
      </c>
      <c r="B128" s="147"/>
      <c r="C128" s="12"/>
      <c r="D128" s="16"/>
      <c r="E128" s="9"/>
      <c r="J128" s="9"/>
      <c r="K128" s="9">
        <f t="shared" si="4"/>
        <v>0</v>
      </c>
      <c r="L128" s="16"/>
    </row>
    <row r="129" spans="1:12" ht="12.75" customHeight="1">
      <c r="A129" s="1" t="s">
        <v>3573</v>
      </c>
      <c r="B129" s="7">
        <v>56.63</v>
      </c>
      <c r="C129" s="7">
        <v>58.38</v>
      </c>
      <c r="D129" s="16">
        <f t="shared" si="3"/>
        <v>3.0902348578491962E-2</v>
      </c>
      <c r="E129" s="9">
        <v>46.84</v>
      </c>
      <c r="F129" s="16">
        <f t="shared" ref="F129:F140" si="9">(C129-E129)/E129</f>
        <v>0.24637062339880442</v>
      </c>
      <c r="J129" s="9">
        <v>22.08</v>
      </c>
      <c r="K129" s="9">
        <f t="shared" si="4"/>
        <v>30.911999999999995</v>
      </c>
      <c r="L129" s="16">
        <f>(C129-K129)/K129</f>
        <v>0.88858695652173947</v>
      </c>
    </row>
    <row r="130" spans="1:12" ht="12.75" customHeight="1">
      <c r="A130" s="1" t="s">
        <v>3605</v>
      </c>
      <c r="B130" s="7">
        <v>50.46</v>
      </c>
      <c r="C130" s="7">
        <v>52.21</v>
      </c>
      <c r="D130" s="16">
        <f t="shared" si="3"/>
        <v>3.4680935394371781E-2</v>
      </c>
      <c r="E130" s="9">
        <v>46.84</v>
      </c>
      <c r="F130" s="16">
        <f t="shared" si="9"/>
        <v>0.11464560204953025</v>
      </c>
      <c r="J130" s="9">
        <v>22.08</v>
      </c>
      <c r="K130" s="9">
        <f t="shared" si="4"/>
        <v>30.911999999999995</v>
      </c>
      <c r="L130" s="16">
        <f t="shared" ref="L130:L159" si="10">(C130-K130)/K130</f>
        <v>0.68898809523809557</v>
      </c>
    </row>
    <row r="131" spans="1:12" ht="12.75" customHeight="1">
      <c r="A131" s="1" t="s">
        <v>3606</v>
      </c>
      <c r="B131" s="7">
        <v>48.5</v>
      </c>
      <c r="C131" s="7">
        <v>50.25</v>
      </c>
      <c r="D131" s="16">
        <f t="shared" si="3"/>
        <v>3.608247422680412E-2</v>
      </c>
      <c r="E131" s="9">
        <v>46.84</v>
      </c>
      <c r="F131" s="16">
        <f t="shared" si="9"/>
        <v>7.2801024765157901E-2</v>
      </c>
      <c r="J131" s="9">
        <v>22.08</v>
      </c>
      <c r="K131" s="9">
        <f t="shared" si="4"/>
        <v>30.911999999999995</v>
      </c>
      <c r="L131" s="16">
        <f t="shared" si="10"/>
        <v>0.62558229813664623</v>
      </c>
    </row>
    <row r="132" spans="1:12" ht="12.75" customHeight="1">
      <c r="A132" s="1" t="s">
        <v>3575</v>
      </c>
      <c r="B132" s="7">
        <v>55.12</v>
      </c>
      <c r="C132" s="7">
        <v>56.87</v>
      </c>
      <c r="D132" s="16">
        <f t="shared" si="3"/>
        <v>3.17489114658926E-2</v>
      </c>
      <c r="E132" s="9">
        <v>46.84</v>
      </c>
      <c r="F132" s="16">
        <f t="shared" si="9"/>
        <v>0.21413321947053787</v>
      </c>
      <c r="J132" s="9">
        <v>22.08</v>
      </c>
      <c r="K132" s="9">
        <f t="shared" si="4"/>
        <v>30.911999999999995</v>
      </c>
      <c r="L132" s="16">
        <f t="shared" si="10"/>
        <v>0.83973861283643914</v>
      </c>
    </row>
    <row r="133" spans="1:12" ht="12.75" customHeight="1">
      <c r="A133" s="1" t="s">
        <v>3607</v>
      </c>
      <c r="B133" s="7">
        <v>50.21</v>
      </c>
      <c r="C133" s="7">
        <v>51.96</v>
      </c>
      <c r="D133" s="16">
        <f t="shared" si="3"/>
        <v>3.4853614817765388E-2</v>
      </c>
      <c r="E133" s="9">
        <v>46.84</v>
      </c>
      <c r="F133" s="16">
        <f t="shared" si="9"/>
        <v>0.10930828351836032</v>
      </c>
      <c r="J133" s="9">
        <v>22.08</v>
      </c>
      <c r="K133" s="9">
        <f t="shared" si="4"/>
        <v>30.911999999999995</v>
      </c>
      <c r="L133" s="16">
        <f t="shared" si="10"/>
        <v>0.68090062111801275</v>
      </c>
    </row>
    <row r="134" spans="1:12" ht="12.75" customHeight="1">
      <c r="A134" s="1" t="s">
        <v>3608</v>
      </c>
      <c r="B134" s="7">
        <v>48.29</v>
      </c>
      <c r="C134" s="7">
        <v>50.04</v>
      </c>
      <c r="D134" s="16">
        <f t="shared" ref="D134:D195" si="11">(C134-B134)/B134</f>
        <v>3.6239387036653553E-2</v>
      </c>
      <c r="E134" s="9">
        <v>46.84</v>
      </c>
      <c r="F134" s="16">
        <f t="shared" si="9"/>
        <v>6.8317677198975135E-2</v>
      </c>
      <c r="J134" s="9">
        <v>22.08</v>
      </c>
      <c r="K134" s="9">
        <f t="shared" si="4"/>
        <v>30.911999999999995</v>
      </c>
      <c r="L134" s="16">
        <f t="shared" si="10"/>
        <v>0.61878881987577661</v>
      </c>
    </row>
    <row r="135" spans="1:12" ht="12.75" customHeight="1">
      <c r="A135" s="1" t="s">
        <v>3576</v>
      </c>
      <c r="B135" s="7">
        <v>53.88</v>
      </c>
      <c r="C135" s="7">
        <v>55.63</v>
      </c>
      <c r="D135" s="16">
        <f t="shared" si="11"/>
        <v>3.2479584261321456E-2</v>
      </c>
      <c r="E135" s="9">
        <v>46.84</v>
      </c>
      <c r="F135" s="16">
        <f t="shared" si="9"/>
        <v>0.18766011955593506</v>
      </c>
      <c r="J135" s="9">
        <v>22.08</v>
      </c>
      <c r="K135" s="9">
        <f t="shared" si="4"/>
        <v>30.911999999999995</v>
      </c>
      <c r="L135" s="16">
        <f t="shared" si="10"/>
        <v>0.79962474120082849</v>
      </c>
    </row>
    <row r="136" spans="1:12" ht="12.75" customHeight="1">
      <c r="A136" s="1" t="s">
        <v>3609</v>
      </c>
      <c r="B136" s="7">
        <v>49.99</v>
      </c>
      <c r="C136" s="7">
        <v>51.74</v>
      </c>
      <c r="D136" s="16">
        <f t="shared" si="11"/>
        <v>3.5007001400280055E-2</v>
      </c>
      <c r="E136" s="9">
        <v>46.84</v>
      </c>
      <c r="F136" s="16">
        <f t="shared" si="9"/>
        <v>0.10461144321093079</v>
      </c>
      <c r="J136" s="9">
        <v>22.08</v>
      </c>
      <c r="K136" s="9">
        <f t="shared" si="4"/>
        <v>30.911999999999995</v>
      </c>
      <c r="L136" s="16">
        <f t="shared" si="10"/>
        <v>0.6737836438923398</v>
      </c>
    </row>
    <row r="137" spans="1:12" ht="12.75" customHeight="1">
      <c r="A137" s="1" t="s">
        <v>3610</v>
      </c>
      <c r="B137" s="7">
        <v>48.07</v>
      </c>
      <c r="C137" s="7">
        <v>49.82</v>
      </c>
      <c r="D137" s="16">
        <f t="shared" si="11"/>
        <v>3.6405242354899107E-2</v>
      </c>
      <c r="E137" s="9">
        <v>46.84</v>
      </c>
      <c r="F137" s="16">
        <f t="shared" si="9"/>
        <v>6.3620836891545615E-2</v>
      </c>
      <c r="J137" s="9">
        <v>22.08</v>
      </c>
      <c r="K137" s="9">
        <f t="shared" si="4"/>
        <v>30.911999999999995</v>
      </c>
      <c r="L137" s="16">
        <f t="shared" si="10"/>
        <v>0.61167184265010377</v>
      </c>
    </row>
    <row r="138" spans="1:12" ht="12.75" customHeight="1">
      <c r="A138" s="1" t="s">
        <v>3611</v>
      </c>
      <c r="B138" s="7">
        <v>49.66</v>
      </c>
      <c r="C138" s="7">
        <v>51.41</v>
      </c>
      <c r="D138" s="16">
        <f t="shared" si="11"/>
        <v>3.5239629480467181E-2</v>
      </c>
      <c r="E138" s="9">
        <v>46.84</v>
      </c>
      <c r="F138" s="16">
        <f t="shared" si="9"/>
        <v>9.7566182749786359E-2</v>
      </c>
      <c r="J138" s="9">
        <v>22.08</v>
      </c>
      <c r="K138" s="9">
        <f t="shared" si="4"/>
        <v>30.911999999999995</v>
      </c>
      <c r="L138" s="16">
        <f t="shared" si="10"/>
        <v>0.66310817805383038</v>
      </c>
    </row>
    <row r="139" spans="1:12" ht="12.75" customHeight="1">
      <c r="A139" s="1" t="s">
        <v>3577</v>
      </c>
      <c r="B139" s="7">
        <v>52.15</v>
      </c>
      <c r="C139" s="7">
        <v>53.9</v>
      </c>
      <c r="D139" s="16">
        <f t="shared" si="11"/>
        <v>3.3557046979865772E-2</v>
      </c>
      <c r="E139" s="9">
        <v>46.84</v>
      </c>
      <c r="F139" s="16">
        <f t="shared" si="9"/>
        <v>0.15072587532023901</v>
      </c>
      <c r="J139" s="9">
        <v>22.08</v>
      </c>
      <c r="K139" s="9">
        <f t="shared" si="4"/>
        <v>30.911999999999995</v>
      </c>
      <c r="L139" s="16">
        <f t="shared" si="10"/>
        <v>0.74365942028985532</v>
      </c>
    </row>
    <row r="140" spans="1:12" ht="12.75" customHeight="1">
      <c r="A140" s="1" t="s">
        <v>3579</v>
      </c>
      <c r="B140" s="7">
        <v>51.05</v>
      </c>
      <c r="C140" s="7">
        <v>52.8</v>
      </c>
      <c r="D140" s="16">
        <f t="shared" si="11"/>
        <v>3.4280117531831543E-2</v>
      </c>
      <c r="E140" s="9">
        <v>46.84</v>
      </c>
      <c r="F140" s="16">
        <f t="shared" si="9"/>
        <v>0.12724167378309123</v>
      </c>
      <c r="J140" s="9">
        <v>22.08</v>
      </c>
      <c r="K140" s="9">
        <f t="shared" si="4"/>
        <v>30.911999999999995</v>
      </c>
      <c r="L140" s="16">
        <f t="shared" si="10"/>
        <v>0.7080745341614908</v>
      </c>
    </row>
    <row r="141" spans="1:12" ht="12.75" customHeight="1">
      <c r="A141" s="1" t="s">
        <v>3602</v>
      </c>
      <c r="B141" s="11" t="s">
        <v>3534</v>
      </c>
      <c r="C141" s="11" t="s">
        <v>3534</v>
      </c>
      <c r="D141" s="16"/>
      <c r="E141" s="9"/>
      <c r="J141" s="9"/>
      <c r="K141" s="9">
        <f t="shared" si="4"/>
        <v>0</v>
      </c>
      <c r="L141" s="16"/>
    </row>
    <row r="142" spans="1:12" ht="12.75" customHeight="1">
      <c r="A142" s="1" t="s">
        <v>3612</v>
      </c>
      <c r="B142" s="7"/>
      <c r="C142" s="7"/>
      <c r="D142" s="16"/>
      <c r="E142" s="9"/>
      <c r="J142" s="9"/>
      <c r="K142" s="9">
        <f t="shared" si="4"/>
        <v>0</v>
      </c>
      <c r="L142" s="16"/>
    </row>
    <row r="143" spans="1:12">
      <c r="A143" s="143"/>
      <c r="B143" s="143"/>
      <c r="C143" s="7"/>
      <c r="D143" s="16"/>
      <c r="E143" s="9"/>
      <c r="J143" s="9"/>
      <c r="K143" s="9">
        <f t="shared" si="4"/>
        <v>0</v>
      </c>
      <c r="L143" s="16"/>
    </row>
    <row r="144" spans="1:12" ht="25.5" customHeight="1">
      <c r="A144" s="2" t="s">
        <v>3693</v>
      </c>
      <c r="B144" s="148" t="s">
        <v>3690</v>
      </c>
      <c r="C144" s="34"/>
      <c r="D144" s="46"/>
      <c r="E144" s="49"/>
      <c r="F144" s="47"/>
      <c r="G144" s="45"/>
      <c r="H144" s="47"/>
      <c r="I144" s="47"/>
      <c r="J144" s="49"/>
      <c r="K144" s="9">
        <f t="shared" si="4"/>
        <v>0</v>
      </c>
      <c r="L144" s="16"/>
    </row>
    <row r="145" spans="1:12" ht="12.75" customHeight="1">
      <c r="A145" s="3" t="s">
        <v>3569</v>
      </c>
      <c r="B145" s="148"/>
      <c r="C145" s="14"/>
      <c r="D145" s="16"/>
      <c r="E145" s="9"/>
      <c r="J145" s="9"/>
      <c r="K145" s="9">
        <f t="shared" ref="K145:K208" si="12">J145*1.4</f>
        <v>0</v>
      </c>
      <c r="L145" s="16"/>
    </row>
    <row r="146" spans="1:12" ht="12.75" customHeight="1">
      <c r="A146" s="1" t="s">
        <v>3573</v>
      </c>
      <c r="B146" s="7">
        <v>56.1</v>
      </c>
      <c r="C146" s="7">
        <v>57.85</v>
      </c>
      <c r="D146" s="16">
        <f t="shared" si="11"/>
        <v>3.1194295900178252E-2</v>
      </c>
      <c r="E146" s="9">
        <v>46.84</v>
      </c>
      <c r="F146" s="16">
        <f t="shared" ref="F146:F159" si="13">(C146-E146)/E146</f>
        <v>0.2350555081127241</v>
      </c>
      <c r="J146" s="9">
        <v>22.08</v>
      </c>
      <c r="K146" s="9">
        <f t="shared" si="12"/>
        <v>30.911999999999995</v>
      </c>
      <c r="L146" s="16">
        <f t="shared" si="10"/>
        <v>0.87144151138716386</v>
      </c>
    </row>
    <row r="147" spans="1:12" ht="12.75" customHeight="1">
      <c r="A147" s="1" t="s">
        <v>3605</v>
      </c>
      <c r="B147" s="7">
        <v>50.64</v>
      </c>
      <c r="C147" s="7">
        <v>52.39</v>
      </c>
      <c r="D147" s="16">
        <f t="shared" si="11"/>
        <v>3.4557661927330174E-2</v>
      </c>
      <c r="E147" s="9">
        <v>46.84</v>
      </c>
      <c r="F147" s="16">
        <f t="shared" si="13"/>
        <v>0.11848847139197261</v>
      </c>
      <c r="J147" s="9">
        <v>22.08</v>
      </c>
      <c r="K147" s="9">
        <f t="shared" si="12"/>
        <v>30.911999999999995</v>
      </c>
      <c r="L147" s="16">
        <f t="shared" si="10"/>
        <v>0.6948110766045551</v>
      </c>
    </row>
    <row r="148" spans="1:12" ht="12.75" customHeight="1">
      <c r="A148" s="1" t="s">
        <v>3606</v>
      </c>
      <c r="B148" s="7">
        <v>48.72</v>
      </c>
      <c r="C148" s="7">
        <v>50.47</v>
      </c>
      <c r="D148" s="16">
        <f t="shared" si="11"/>
        <v>3.5919540229885055E-2</v>
      </c>
      <c r="E148" s="9">
        <v>46.84</v>
      </c>
      <c r="F148" s="16">
        <f t="shared" si="13"/>
        <v>7.7497865072587435E-2</v>
      </c>
      <c r="J148" s="9">
        <v>22.08</v>
      </c>
      <c r="K148" s="9">
        <f t="shared" si="12"/>
        <v>30.911999999999995</v>
      </c>
      <c r="L148" s="16">
        <f t="shared" si="10"/>
        <v>0.63269927536231907</v>
      </c>
    </row>
    <row r="149" spans="1:12" ht="12.75" customHeight="1">
      <c r="A149" s="1" t="s">
        <v>3575</v>
      </c>
      <c r="B149" s="7">
        <v>54.56</v>
      </c>
      <c r="C149" s="7">
        <v>56.31</v>
      </c>
      <c r="D149" s="16">
        <f t="shared" si="11"/>
        <v>3.2074780058651026E-2</v>
      </c>
      <c r="E149" s="9">
        <v>46.84</v>
      </c>
      <c r="F149" s="16">
        <f t="shared" si="13"/>
        <v>0.20217762596071728</v>
      </c>
      <c r="J149" s="9">
        <v>22.08</v>
      </c>
      <c r="K149" s="9">
        <f t="shared" si="12"/>
        <v>30.911999999999995</v>
      </c>
      <c r="L149" s="16">
        <f t="shared" si="10"/>
        <v>0.82162267080745377</v>
      </c>
    </row>
    <row r="150" spans="1:12" ht="12.75" customHeight="1">
      <c r="A150" s="1" t="s">
        <v>3607</v>
      </c>
      <c r="B150" s="7">
        <v>50.43</v>
      </c>
      <c r="C150" s="7">
        <v>52.18</v>
      </c>
      <c r="D150" s="16">
        <f t="shared" si="11"/>
        <v>3.4701566527860397E-2</v>
      </c>
      <c r="E150" s="9">
        <v>46.84</v>
      </c>
      <c r="F150" s="16">
        <f t="shared" si="13"/>
        <v>0.11400512382578984</v>
      </c>
      <c r="J150" s="9">
        <v>22.08</v>
      </c>
      <c r="K150" s="9">
        <f t="shared" si="12"/>
        <v>30.911999999999995</v>
      </c>
      <c r="L150" s="16">
        <f t="shared" si="10"/>
        <v>0.68801759834368559</v>
      </c>
    </row>
    <row r="151" spans="1:12" ht="12.75" customHeight="1">
      <c r="A151" s="1" t="s">
        <v>3608</v>
      </c>
      <c r="B151" s="7">
        <v>48.52</v>
      </c>
      <c r="C151" s="7">
        <v>50.27</v>
      </c>
      <c r="D151" s="16">
        <f t="shared" si="11"/>
        <v>3.6067600989282765E-2</v>
      </c>
      <c r="E151" s="9">
        <v>46.84</v>
      </c>
      <c r="F151" s="16">
        <f t="shared" si="13"/>
        <v>7.3228010247651562E-2</v>
      </c>
      <c r="J151" s="9">
        <v>22.08</v>
      </c>
      <c r="K151" s="9">
        <f t="shared" si="12"/>
        <v>30.911999999999995</v>
      </c>
      <c r="L151" s="16">
        <f t="shared" si="10"/>
        <v>0.62622929606625288</v>
      </c>
    </row>
    <row r="152" spans="1:12" ht="12.75" customHeight="1">
      <c r="A152" s="1" t="s">
        <v>3576</v>
      </c>
      <c r="B152" s="7">
        <v>53.11</v>
      </c>
      <c r="C152" s="7">
        <v>54.86</v>
      </c>
      <c r="D152" s="16">
        <f t="shared" si="11"/>
        <v>3.2950480135567693E-2</v>
      </c>
      <c r="E152" s="9">
        <v>46.84</v>
      </c>
      <c r="F152" s="16">
        <f t="shared" si="13"/>
        <v>0.1712211784799316</v>
      </c>
      <c r="J152" s="9">
        <v>22.08</v>
      </c>
      <c r="K152" s="9">
        <f t="shared" si="12"/>
        <v>30.911999999999995</v>
      </c>
      <c r="L152" s="16">
        <f t="shared" si="10"/>
        <v>0.77471532091097328</v>
      </c>
    </row>
    <row r="153" spans="1:12" ht="12.75" customHeight="1">
      <c r="A153" s="1" t="s">
        <v>3609</v>
      </c>
      <c r="B153" s="7">
        <v>50.21</v>
      </c>
      <c r="C153" s="7">
        <v>51.96</v>
      </c>
      <c r="D153" s="16">
        <f t="shared" si="11"/>
        <v>3.4853614817765388E-2</v>
      </c>
      <c r="E153" s="9">
        <v>46.84</v>
      </c>
      <c r="F153" s="16">
        <f t="shared" si="13"/>
        <v>0.10930828351836032</v>
      </c>
      <c r="J153" s="9">
        <v>22.08</v>
      </c>
      <c r="K153" s="9">
        <f t="shared" si="12"/>
        <v>30.911999999999995</v>
      </c>
      <c r="L153" s="16">
        <f t="shared" si="10"/>
        <v>0.68090062111801275</v>
      </c>
    </row>
    <row r="154" spans="1:12" ht="12.75" customHeight="1">
      <c r="A154" s="1" t="s">
        <v>3610</v>
      </c>
      <c r="B154" s="7">
        <v>48.29</v>
      </c>
      <c r="C154" s="7">
        <v>50.04</v>
      </c>
      <c r="D154" s="16">
        <f t="shared" si="11"/>
        <v>3.6239387036653553E-2</v>
      </c>
      <c r="E154" s="9">
        <v>46.84</v>
      </c>
      <c r="F154" s="16">
        <f t="shared" si="13"/>
        <v>6.8317677198975135E-2</v>
      </c>
      <c r="J154" s="9">
        <v>22.08</v>
      </c>
      <c r="K154" s="9">
        <f t="shared" si="12"/>
        <v>30.911999999999995</v>
      </c>
      <c r="L154" s="16">
        <f t="shared" si="10"/>
        <v>0.61878881987577661</v>
      </c>
    </row>
    <row r="155" spans="1:12" ht="12.75" customHeight="1">
      <c r="A155" s="1" t="s">
        <v>3577</v>
      </c>
      <c r="B155" s="7">
        <v>51.6</v>
      </c>
      <c r="C155" s="7">
        <v>53.35</v>
      </c>
      <c r="D155" s="16">
        <f t="shared" si="11"/>
        <v>3.391472868217054E-2</v>
      </c>
      <c r="E155" s="9">
        <v>46.84</v>
      </c>
      <c r="F155" s="16">
        <f t="shared" si="13"/>
        <v>0.13898377455166519</v>
      </c>
      <c r="J155" s="9">
        <v>22.08</v>
      </c>
      <c r="K155" s="9">
        <f t="shared" si="12"/>
        <v>30.911999999999995</v>
      </c>
      <c r="L155" s="16">
        <f t="shared" si="10"/>
        <v>0.72586697722567317</v>
      </c>
    </row>
    <row r="156" spans="1:12" ht="12.75" customHeight="1">
      <c r="A156" s="1" t="s">
        <v>3579</v>
      </c>
      <c r="B156" s="7">
        <v>50.49</v>
      </c>
      <c r="C156" s="7">
        <v>52.24</v>
      </c>
      <c r="D156" s="16">
        <f t="shared" si="11"/>
        <v>3.4660328777975834E-2</v>
      </c>
      <c r="E156" s="9">
        <v>46.84</v>
      </c>
      <c r="F156" s="16">
        <f t="shared" si="13"/>
        <v>0.11528608027327067</v>
      </c>
      <c r="J156" s="9">
        <v>22.08</v>
      </c>
      <c r="K156" s="9">
        <f t="shared" si="12"/>
        <v>30.911999999999995</v>
      </c>
      <c r="L156" s="16">
        <f t="shared" si="10"/>
        <v>0.68995859213250543</v>
      </c>
    </row>
    <row r="157" spans="1:12" ht="12.75" customHeight="1">
      <c r="A157" s="1" t="s">
        <v>3580</v>
      </c>
      <c r="B157" s="7">
        <v>49.38</v>
      </c>
      <c r="C157" s="7">
        <v>51.13</v>
      </c>
      <c r="D157" s="16">
        <f t="shared" si="11"/>
        <v>3.5439449169704332E-2</v>
      </c>
      <c r="E157" s="9">
        <v>46.84</v>
      </c>
      <c r="F157" s="16">
        <f t="shared" si="13"/>
        <v>9.1588385994876148E-2</v>
      </c>
      <c r="J157" s="9">
        <v>22.08</v>
      </c>
      <c r="K157" s="9">
        <f t="shared" si="12"/>
        <v>30.911999999999995</v>
      </c>
      <c r="L157" s="16">
        <f t="shared" si="10"/>
        <v>0.65405020703933781</v>
      </c>
    </row>
    <row r="158" spans="1:12" ht="12.75" customHeight="1">
      <c r="A158" s="1" t="s">
        <v>3593</v>
      </c>
      <c r="B158" s="7">
        <v>48.42</v>
      </c>
      <c r="C158" s="7">
        <v>50.17</v>
      </c>
      <c r="D158" s="16">
        <f t="shared" si="11"/>
        <v>3.6142090045435768E-2</v>
      </c>
      <c r="E158" s="9">
        <v>46.84</v>
      </c>
      <c r="F158" s="16">
        <f t="shared" si="13"/>
        <v>7.1093082835183563E-2</v>
      </c>
      <c r="J158" s="9">
        <v>22.08</v>
      </c>
      <c r="K158" s="9">
        <f t="shared" si="12"/>
        <v>30.911999999999995</v>
      </c>
      <c r="L158" s="16">
        <f t="shared" si="10"/>
        <v>0.62299430641821973</v>
      </c>
    </row>
    <row r="159" spans="1:12" ht="12.75" customHeight="1">
      <c r="A159" s="1" t="s">
        <v>3594</v>
      </c>
      <c r="B159" s="7">
        <v>47.46</v>
      </c>
      <c r="C159" s="7">
        <v>49.21</v>
      </c>
      <c r="D159" s="16">
        <f t="shared" si="11"/>
        <v>3.687315634218289E-2</v>
      </c>
      <c r="E159" s="9">
        <v>46.84</v>
      </c>
      <c r="F159" s="16">
        <f t="shared" si="13"/>
        <v>5.0597779675490978E-2</v>
      </c>
      <c r="J159" s="9">
        <v>22.08</v>
      </c>
      <c r="K159" s="9">
        <f t="shared" si="12"/>
        <v>30.911999999999995</v>
      </c>
      <c r="L159" s="16">
        <f t="shared" si="10"/>
        <v>0.59193840579710166</v>
      </c>
    </row>
    <row r="160" spans="1:12" ht="12.75" customHeight="1">
      <c r="A160" s="1" t="s">
        <v>3614</v>
      </c>
      <c r="B160" s="11" t="s">
        <v>3534</v>
      </c>
      <c r="C160" s="11" t="s">
        <v>3534</v>
      </c>
      <c r="D160" s="16"/>
      <c r="E160" s="9"/>
      <c r="J160" s="9"/>
      <c r="K160" s="9">
        <f t="shared" si="12"/>
        <v>0</v>
      </c>
      <c r="L160" s="16"/>
    </row>
    <row r="161" spans="1:12" ht="12.75" customHeight="1">
      <c r="A161" s="1" t="s">
        <v>3615</v>
      </c>
      <c r="B161" s="11" t="s">
        <v>3534</v>
      </c>
      <c r="C161" s="11" t="s">
        <v>3534</v>
      </c>
      <c r="D161" s="16"/>
      <c r="E161" s="9"/>
      <c r="J161" s="9"/>
      <c r="K161" s="9">
        <f t="shared" si="12"/>
        <v>0</v>
      </c>
      <c r="L161" s="16"/>
    </row>
    <row r="162" spans="1:12">
      <c r="A162" s="1"/>
      <c r="B162" s="7"/>
      <c r="C162" s="7"/>
      <c r="D162" s="16"/>
      <c r="E162" s="9"/>
      <c r="J162" s="9"/>
      <c r="K162" s="9">
        <f t="shared" si="12"/>
        <v>0</v>
      </c>
      <c r="L162" s="16"/>
    </row>
    <row r="163" spans="1:12">
      <c r="A163" s="143"/>
      <c r="B163" s="143"/>
      <c r="C163" s="7"/>
      <c r="D163" s="16"/>
      <c r="E163" s="9"/>
      <c r="J163" s="9"/>
      <c r="K163" s="9">
        <f t="shared" si="12"/>
        <v>0</v>
      </c>
      <c r="L163" s="16"/>
    </row>
    <row r="164" spans="1:12" ht="12.75" customHeight="1">
      <c r="A164" s="144" t="s">
        <v>3616</v>
      </c>
      <c r="B164" s="144"/>
      <c r="C164" s="8" t="s">
        <v>3481</v>
      </c>
      <c r="D164" s="43"/>
      <c r="E164" s="44"/>
      <c r="F164" s="8"/>
      <c r="G164" s="23" t="s">
        <v>3983</v>
      </c>
      <c r="H164" s="43">
        <f>AVERAGE(F165:F172)</f>
        <v>4.5859098943060617E-2</v>
      </c>
      <c r="I164" s="8"/>
      <c r="J164" s="44"/>
      <c r="K164" s="9">
        <f t="shared" si="12"/>
        <v>0</v>
      </c>
      <c r="L164" s="43"/>
    </row>
    <row r="165" spans="1:12" ht="12.75" customHeight="1">
      <c r="A165" s="1" t="s">
        <v>3617</v>
      </c>
      <c r="B165" s="7">
        <v>32.74</v>
      </c>
      <c r="C165" s="7">
        <v>32.74</v>
      </c>
      <c r="D165" s="16">
        <f t="shared" si="11"/>
        <v>0</v>
      </c>
      <c r="E165" s="9">
        <v>32.03</v>
      </c>
      <c r="F165" s="16">
        <f t="shared" ref="F165:F172" si="14">(C165-E165)/E165</f>
        <v>2.2166718701217634E-2</v>
      </c>
      <c r="J165" s="9">
        <v>18.940000000000001</v>
      </c>
      <c r="K165" s="9">
        <f t="shared" si="12"/>
        <v>26.516000000000002</v>
      </c>
      <c r="L165" s="16">
        <f>(C165-K165)/K165</f>
        <v>0.23472620304721675</v>
      </c>
    </row>
    <row r="166" spans="1:12" ht="12.75" customHeight="1">
      <c r="A166" s="1" t="s">
        <v>3618</v>
      </c>
      <c r="B166" s="7">
        <v>33.590000000000003</v>
      </c>
      <c r="C166" s="7">
        <v>33.590000000000003</v>
      </c>
      <c r="D166" s="16">
        <f t="shared" si="11"/>
        <v>0</v>
      </c>
      <c r="E166" s="9">
        <v>32.03</v>
      </c>
      <c r="F166" s="16">
        <f t="shared" si="14"/>
        <v>4.8704339681548615E-2</v>
      </c>
      <c r="J166" s="9">
        <v>18.940000000000001</v>
      </c>
      <c r="K166" s="9">
        <f t="shared" si="12"/>
        <v>26.516000000000002</v>
      </c>
      <c r="L166" s="16">
        <f t="shared" ref="L166:L172" si="15">(C166-K166)/K166</f>
        <v>0.26678232010861369</v>
      </c>
    </row>
    <row r="167" spans="1:12" ht="12.75" customHeight="1">
      <c r="A167" s="1" t="s">
        <v>3619</v>
      </c>
      <c r="B167" s="7">
        <v>33.24</v>
      </c>
      <c r="C167" s="7">
        <v>33.24</v>
      </c>
      <c r="D167" s="16">
        <f t="shared" si="11"/>
        <v>0</v>
      </c>
      <c r="E167" s="9">
        <v>32.03</v>
      </c>
      <c r="F167" s="16">
        <f t="shared" si="14"/>
        <v>3.7777083983765246E-2</v>
      </c>
      <c r="J167" s="9">
        <v>18.940000000000001</v>
      </c>
      <c r="K167" s="9">
        <f t="shared" si="12"/>
        <v>26.516000000000002</v>
      </c>
      <c r="L167" s="16">
        <f t="shared" si="15"/>
        <v>0.25358274249509727</v>
      </c>
    </row>
    <row r="168" spans="1:12" ht="12.75" customHeight="1">
      <c r="A168" s="1" t="s">
        <v>3620</v>
      </c>
      <c r="B168" s="7">
        <v>33.74</v>
      </c>
      <c r="C168" s="7">
        <v>33.74</v>
      </c>
      <c r="D168" s="16">
        <f t="shared" si="11"/>
        <v>0</v>
      </c>
      <c r="E168" s="9">
        <v>32.03</v>
      </c>
      <c r="F168" s="16">
        <f t="shared" si="14"/>
        <v>5.3387449266312857E-2</v>
      </c>
      <c r="J168" s="9">
        <v>18.940000000000001</v>
      </c>
      <c r="K168" s="9">
        <f t="shared" si="12"/>
        <v>26.516000000000002</v>
      </c>
      <c r="L168" s="16">
        <f t="shared" si="15"/>
        <v>0.27243928194297784</v>
      </c>
    </row>
    <row r="169" spans="1:12" ht="12.75" customHeight="1">
      <c r="A169" s="1" t="s">
        <v>3621</v>
      </c>
      <c r="B169" s="7">
        <v>34.74</v>
      </c>
      <c r="C169" s="7">
        <v>34.74</v>
      </c>
      <c r="D169" s="16">
        <f t="shared" si="11"/>
        <v>0</v>
      </c>
      <c r="E169" s="9">
        <v>32.03</v>
      </c>
      <c r="F169" s="16">
        <f t="shared" si="14"/>
        <v>8.4608179831408073E-2</v>
      </c>
      <c r="J169" s="9">
        <v>18.940000000000001</v>
      </c>
      <c r="K169" s="9">
        <f t="shared" si="12"/>
        <v>26.516000000000002</v>
      </c>
      <c r="L169" s="16">
        <f t="shared" si="15"/>
        <v>0.31015236083873887</v>
      </c>
    </row>
    <row r="170" spans="1:12" ht="12.75" customHeight="1">
      <c r="A170" s="1" t="s">
        <v>3622</v>
      </c>
      <c r="B170" s="7">
        <v>33.24</v>
      </c>
      <c r="C170" s="7">
        <v>33.24</v>
      </c>
      <c r="D170" s="16">
        <f t="shared" si="11"/>
        <v>0</v>
      </c>
      <c r="E170" s="9">
        <v>32.03</v>
      </c>
      <c r="F170" s="16">
        <f t="shared" si="14"/>
        <v>3.7777083983765246E-2</v>
      </c>
      <c r="J170" s="9">
        <v>18.940000000000001</v>
      </c>
      <c r="K170" s="9">
        <f t="shared" si="12"/>
        <v>26.516000000000002</v>
      </c>
      <c r="L170" s="16">
        <f t="shared" si="15"/>
        <v>0.25358274249509727</v>
      </c>
    </row>
    <row r="171" spans="1:12" ht="12.75" customHeight="1">
      <c r="A171" s="1" t="s">
        <v>3623</v>
      </c>
      <c r="B171" s="7">
        <v>33.74</v>
      </c>
      <c r="C171" s="7">
        <v>33.74</v>
      </c>
      <c r="D171" s="16">
        <f t="shared" si="11"/>
        <v>0</v>
      </c>
      <c r="E171" s="9">
        <v>32.03</v>
      </c>
      <c r="F171" s="16">
        <f t="shared" si="14"/>
        <v>5.3387449266312857E-2</v>
      </c>
      <c r="J171" s="9">
        <v>18.940000000000001</v>
      </c>
      <c r="K171" s="9">
        <f t="shared" si="12"/>
        <v>26.516000000000002</v>
      </c>
      <c r="L171" s="16">
        <f t="shared" si="15"/>
        <v>0.27243928194297784</v>
      </c>
    </row>
    <row r="172" spans="1:12" ht="12.75" customHeight="1">
      <c r="A172" s="1" t="s">
        <v>3624</v>
      </c>
      <c r="B172" s="7">
        <v>33.99</v>
      </c>
      <c r="C172" s="7">
        <v>33.99</v>
      </c>
      <c r="D172" s="16">
        <f t="shared" si="11"/>
        <v>0</v>
      </c>
      <c r="E172" s="9">
        <v>33.03</v>
      </c>
      <c r="F172" s="16">
        <f t="shared" si="14"/>
        <v>2.9064486830154428E-2</v>
      </c>
      <c r="J172" s="9">
        <v>18.940000000000001</v>
      </c>
      <c r="K172" s="9">
        <f t="shared" si="12"/>
        <v>26.516000000000002</v>
      </c>
      <c r="L172" s="16">
        <f t="shared" si="15"/>
        <v>0.28186755166691807</v>
      </c>
    </row>
    <row r="173" spans="1:12" ht="63.75">
      <c r="A173" s="1" t="s">
        <v>3601</v>
      </c>
      <c r="B173" s="7" t="s">
        <v>3625</v>
      </c>
      <c r="C173" s="7" t="s">
        <v>3625</v>
      </c>
      <c r="D173" s="16"/>
      <c r="E173" s="9"/>
      <c r="J173" s="9"/>
      <c r="K173" s="9">
        <f t="shared" si="12"/>
        <v>0</v>
      </c>
      <c r="L173" s="16"/>
    </row>
    <row r="174" spans="1:12">
      <c r="A174" s="143"/>
      <c r="B174" s="143"/>
      <c r="C174" s="7"/>
      <c r="D174" s="16"/>
      <c r="E174" s="9"/>
      <c r="J174" s="9"/>
      <c r="K174" s="9">
        <f t="shared" si="12"/>
        <v>0</v>
      </c>
      <c r="L174" s="16"/>
    </row>
    <row r="175" spans="1:12" ht="12.75" customHeight="1">
      <c r="A175" s="144" t="s">
        <v>3626</v>
      </c>
      <c r="B175" s="144"/>
      <c r="C175" s="32"/>
      <c r="D175" s="46"/>
      <c r="E175" s="49"/>
      <c r="F175" s="47"/>
      <c r="G175" s="23" t="s">
        <v>3983</v>
      </c>
      <c r="H175" s="47"/>
      <c r="I175" s="47"/>
      <c r="J175" s="49"/>
      <c r="K175" s="9">
        <f t="shared" si="12"/>
        <v>0</v>
      </c>
      <c r="L175" s="46"/>
    </row>
    <row r="176" spans="1:12" ht="12.75" customHeight="1">
      <c r="A176" s="1" t="s">
        <v>3627</v>
      </c>
      <c r="B176" s="7">
        <v>58.47</v>
      </c>
      <c r="C176" s="7">
        <v>58.47</v>
      </c>
      <c r="D176" s="16">
        <f t="shared" si="11"/>
        <v>0</v>
      </c>
      <c r="E176" s="9"/>
      <c r="J176" s="9"/>
      <c r="K176" s="9">
        <f t="shared" si="12"/>
        <v>0</v>
      </c>
      <c r="L176" s="16"/>
    </row>
    <row r="177" spans="1:12" ht="12.75" customHeight="1">
      <c r="A177" s="1" t="s">
        <v>3628</v>
      </c>
      <c r="B177" s="7">
        <v>62.05</v>
      </c>
      <c r="C177" s="7">
        <v>62.05</v>
      </c>
      <c r="D177" s="16">
        <f t="shared" si="11"/>
        <v>0</v>
      </c>
      <c r="E177" s="9"/>
      <c r="J177" s="9"/>
      <c r="K177" s="9">
        <f t="shared" si="12"/>
        <v>0</v>
      </c>
      <c r="L177" s="16"/>
    </row>
    <row r="178" spans="1:12">
      <c r="A178" s="1"/>
      <c r="B178" s="7"/>
      <c r="C178" s="7"/>
      <c r="D178" s="16"/>
      <c r="E178" s="9"/>
      <c r="J178" s="9"/>
      <c r="K178" s="9">
        <f t="shared" si="12"/>
        <v>0</v>
      </c>
      <c r="L178" s="16"/>
    </row>
    <row r="179" spans="1:12" ht="38.25">
      <c r="A179" s="2" t="s">
        <v>3629</v>
      </c>
      <c r="B179" s="12" t="s">
        <v>3510</v>
      </c>
      <c r="C179" s="35"/>
      <c r="D179" s="43"/>
      <c r="E179" s="44"/>
      <c r="F179" s="8"/>
      <c r="G179" s="23" t="s">
        <v>3983</v>
      </c>
      <c r="H179" s="43">
        <f>AVERAGE(F180:F181)</f>
        <v>1.7143666761122243E-2</v>
      </c>
      <c r="I179" s="8"/>
      <c r="J179" s="44"/>
      <c r="K179" s="9">
        <f t="shared" si="12"/>
        <v>0</v>
      </c>
      <c r="L179" s="43"/>
    </row>
    <row r="180" spans="1:12" ht="12.75" customHeight="1">
      <c r="A180" s="1" t="s">
        <v>3630</v>
      </c>
      <c r="B180" s="7">
        <v>34.270000000000003</v>
      </c>
      <c r="C180" s="7">
        <v>34.770000000000003</v>
      </c>
      <c r="D180" s="16">
        <f t="shared" si="11"/>
        <v>1.4590020426028595E-2</v>
      </c>
      <c r="E180" s="9">
        <v>35.29</v>
      </c>
      <c r="F180" s="16">
        <f>(C180-E180)/E180</f>
        <v>-1.4735052422782545E-2</v>
      </c>
      <c r="J180" s="9"/>
      <c r="K180" s="9">
        <f t="shared" si="12"/>
        <v>0</v>
      </c>
      <c r="L180" s="16"/>
    </row>
    <row r="181" spans="1:12" ht="12.75" customHeight="1">
      <c r="A181" s="1" t="s">
        <v>3631</v>
      </c>
      <c r="B181" s="7">
        <v>35.590000000000003</v>
      </c>
      <c r="C181" s="7">
        <v>37.020000000000003</v>
      </c>
      <c r="D181" s="16">
        <f t="shared" si="11"/>
        <v>4.017982579376228E-2</v>
      </c>
      <c r="E181" s="9">
        <v>35.29</v>
      </c>
      <c r="F181" s="16">
        <f>(C181-E181)/E181</f>
        <v>4.9022385945027031E-2</v>
      </c>
      <c r="J181" s="9"/>
      <c r="K181" s="9">
        <f t="shared" si="12"/>
        <v>0</v>
      </c>
      <c r="L181" s="16"/>
    </row>
    <row r="182" spans="1:12">
      <c r="A182" s="1"/>
      <c r="B182" s="7"/>
      <c r="C182" s="7"/>
      <c r="D182" s="16"/>
      <c r="E182" s="9"/>
      <c r="J182" s="9"/>
      <c r="K182" s="9">
        <f t="shared" si="12"/>
        <v>0</v>
      </c>
      <c r="L182" s="16"/>
    </row>
    <row r="183" spans="1:12" ht="12.75" customHeight="1">
      <c r="A183" s="2" t="s">
        <v>3632</v>
      </c>
      <c r="B183" s="11" t="s">
        <v>3534</v>
      </c>
      <c r="C183" s="33" t="s">
        <v>3534</v>
      </c>
      <c r="D183" s="43"/>
      <c r="E183" s="44"/>
      <c r="F183" s="8"/>
      <c r="G183" s="23" t="s">
        <v>3983</v>
      </c>
      <c r="H183" s="43">
        <f>AVERAGE(F184)</f>
        <v>0.14112597828831111</v>
      </c>
      <c r="I183" s="8"/>
      <c r="J183" s="44"/>
      <c r="K183" s="9">
        <f t="shared" si="12"/>
        <v>0</v>
      </c>
      <c r="L183" s="43"/>
    </row>
    <row r="184" spans="1:12" ht="12.75" customHeight="1">
      <c r="A184" s="1" t="s">
        <v>3695</v>
      </c>
      <c r="B184" s="7">
        <v>45.2</v>
      </c>
      <c r="C184" s="7">
        <v>45.2</v>
      </c>
      <c r="D184" s="16">
        <f t="shared" si="11"/>
        <v>0</v>
      </c>
      <c r="E184" s="9">
        <v>39.61</v>
      </c>
      <c r="F184" s="16">
        <f>(C184-E184)/E184</f>
        <v>0.14112597828831111</v>
      </c>
      <c r="J184" s="9"/>
      <c r="K184" s="9">
        <f t="shared" si="12"/>
        <v>0</v>
      </c>
      <c r="L184" s="16"/>
    </row>
    <row r="185" spans="1:12">
      <c r="A185" s="1"/>
      <c r="B185" s="7"/>
      <c r="C185" s="7"/>
      <c r="D185" s="16"/>
      <c r="E185" s="9"/>
      <c r="J185" s="9"/>
      <c r="K185" s="9">
        <f t="shared" si="12"/>
        <v>0</v>
      </c>
      <c r="L185" s="16"/>
    </row>
    <row r="186" spans="1:12" ht="12.75" customHeight="1">
      <c r="A186" s="2" t="s">
        <v>3636</v>
      </c>
      <c r="B186" s="11" t="s">
        <v>3534</v>
      </c>
      <c r="C186" s="33" t="s">
        <v>3534</v>
      </c>
      <c r="D186" s="43"/>
      <c r="E186" s="44"/>
      <c r="F186" s="8"/>
      <c r="G186" s="23" t="s">
        <v>3983</v>
      </c>
      <c r="H186" s="43">
        <f>AVERAGE(F187)</f>
        <v>4.5170047507729356E-2</v>
      </c>
      <c r="I186" s="8"/>
      <c r="J186" s="44"/>
      <c r="K186" s="9">
        <f t="shared" si="12"/>
        <v>0</v>
      </c>
      <c r="L186" s="43"/>
    </row>
    <row r="187" spans="1:12" ht="12.75" customHeight="1">
      <c r="A187" s="1" t="s">
        <v>3913</v>
      </c>
      <c r="B187" s="7">
        <v>30.92</v>
      </c>
      <c r="C187" s="7">
        <v>41.58</v>
      </c>
      <c r="D187" s="16">
        <f t="shared" si="11"/>
        <v>0.34476067270375149</v>
      </c>
      <c r="E187" s="9">
        <v>39.783000000000001</v>
      </c>
      <c r="F187" s="16">
        <f>(C187-E187)/E187</f>
        <v>4.5170047507729356E-2</v>
      </c>
      <c r="J187" s="9"/>
      <c r="K187" s="9">
        <f t="shared" si="12"/>
        <v>0</v>
      </c>
      <c r="L187" s="16"/>
    </row>
    <row r="188" spans="1:12">
      <c r="A188" s="1"/>
      <c r="B188" s="7"/>
      <c r="C188" s="7"/>
      <c r="D188" s="16"/>
      <c r="E188" s="9"/>
      <c r="J188" s="9"/>
      <c r="K188" s="9">
        <f t="shared" si="12"/>
        <v>0</v>
      </c>
      <c r="L188" s="16"/>
    </row>
    <row r="189" spans="1:12" ht="12.75" customHeight="1">
      <c r="A189" s="2" t="s">
        <v>3914</v>
      </c>
      <c r="B189" s="7"/>
      <c r="C189" s="31"/>
      <c r="D189" s="43"/>
      <c r="E189" s="44"/>
      <c r="F189" s="8"/>
      <c r="G189" s="23" t="s">
        <v>3984</v>
      </c>
      <c r="H189" s="8"/>
      <c r="I189" s="43">
        <f>AVERAGE(F190)</f>
        <v>0</v>
      </c>
      <c r="J189" s="44"/>
      <c r="K189" s="9">
        <f t="shared" si="12"/>
        <v>0</v>
      </c>
      <c r="L189" s="43"/>
    </row>
    <row r="190" spans="1:12" ht="12.75" customHeight="1">
      <c r="A190" s="1" t="s">
        <v>3915</v>
      </c>
      <c r="B190" s="7">
        <v>19.690000000000001</v>
      </c>
      <c r="C190" s="7">
        <v>17.16</v>
      </c>
      <c r="D190" s="16">
        <f t="shared" si="11"/>
        <v>-0.1284916201117319</v>
      </c>
      <c r="E190" s="9">
        <v>17.16</v>
      </c>
      <c r="F190" s="16">
        <f>(C190-E190)/E190</f>
        <v>0</v>
      </c>
      <c r="J190" s="9">
        <v>17.600000000000001</v>
      </c>
      <c r="K190" s="9">
        <f t="shared" si="12"/>
        <v>24.64</v>
      </c>
      <c r="L190" s="16">
        <f>(C190-K190)/K190</f>
        <v>-0.3035714285714286</v>
      </c>
    </row>
    <row r="191" spans="1:12">
      <c r="A191" s="1"/>
      <c r="B191" s="7"/>
      <c r="C191" s="7"/>
      <c r="D191" s="16"/>
      <c r="E191" s="9"/>
      <c r="J191" s="9"/>
      <c r="K191" s="9">
        <f t="shared" si="12"/>
        <v>0</v>
      </c>
      <c r="L191" s="16"/>
    </row>
    <row r="192" spans="1:12" ht="38.25">
      <c r="A192" s="2" t="s">
        <v>3640</v>
      </c>
      <c r="B192" s="12" t="s">
        <v>3510</v>
      </c>
      <c r="C192" s="51"/>
      <c r="D192" s="43"/>
      <c r="E192" s="44"/>
      <c r="F192" s="8"/>
      <c r="G192" s="23" t="s">
        <v>3983</v>
      </c>
      <c r="H192" s="43">
        <f>AVERAGE(F193:F195)</f>
        <v>0.1334801762114538</v>
      </c>
      <c r="I192" s="8"/>
      <c r="J192" s="44"/>
      <c r="K192" s="9">
        <f t="shared" si="12"/>
        <v>0</v>
      </c>
      <c r="L192" s="43"/>
    </row>
    <row r="193" spans="1:12" ht="12.75" customHeight="1">
      <c r="A193" s="1" t="s">
        <v>3641</v>
      </c>
      <c r="B193" s="7">
        <v>46.6</v>
      </c>
      <c r="C193" s="7">
        <v>48.35</v>
      </c>
      <c r="D193" s="16">
        <f t="shared" si="11"/>
        <v>3.7553648068669523E-2</v>
      </c>
      <c r="E193" s="9">
        <v>45.4</v>
      </c>
      <c r="F193" s="16">
        <f>(C193-E193)/E193</f>
        <v>6.4977973568281999E-2</v>
      </c>
      <c r="J193" s="9"/>
      <c r="K193" s="9">
        <f t="shared" si="12"/>
        <v>0</v>
      </c>
      <c r="L193" s="16"/>
    </row>
    <row r="194" spans="1:12" ht="12.75" customHeight="1">
      <c r="A194" s="1" t="s">
        <v>3642</v>
      </c>
      <c r="B194" s="7">
        <v>49.62</v>
      </c>
      <c r="C194" s="7">
        <v>51.46</v>
      </c>
      <c r="D194" s="16">
        <f t="shared" si="11"/>
        <v>3.70818218460299E-2</v>
      </c>
      <c r="E194" s="9">
        <v>45.4</v>
      </c>
      <c r="F194" s="16">
        <f>(C194-E194)/E194</f>
        <v>0.1334801762114538</v>
      </c>
      <c r="J194" s="9"/>
      <c r="K194" s="9">
        <f t="shared" si="12"/>
        <v>0</v>
      </c>
      <c r="L194" s="16"/>
    </row>
    <row r="195" spans="1:12" ht="12.75" customHeight="1">
      <c r="A195" s="1" t="s">
        <v>3643</v>
      </c>
      <c r="B195" s="7">
        <v>52.64</v>
      </c>
      <c r="C195" s="7">
        <v>54.57</v>
      </c>
      <c r="D195" s="16">
        <f t="shared" si="11"/>
        <v>3.666413373860182E-2</v>
      </c>
      <c r="E195" s="9">
        <v>45.4</v>
      </c>
      <c r="F195" s="16">
        <f>(C195-E195)/E195</f>
        <v>0.20198237885462558</v>
      </c>
      <c r="J195" s="9"/>
      <c r="K195" s="9">
        <f t="shared" si="12"/>
        <v>0</v>
      </c>
      <c r="L195" s="16"/>
    </row>
    <row r="196" spans="1:12">
      <c r="A196" s="1"/>
      <c r="B196" s="7"/>
      <c r="C196" s="7"/>
      <c r="D196" s="16"/>
      <c r="E196" s="9"/>
      <c r="J196" s="9"/>
      <c r="K196" s="9">
        <f t="shared" si="12"/>
        <v>0</v>
      </c>
      <c r="L196" s="16"/>
    </row>
    <row r="197" spans="1:12" ht="12.75" customHeight="1">
      <c r="A197" s="2" t="s">
        <v>3644</v>
      </c>
      <c r="B197" s="11" t="s">
        <v>3534</v>
      </c>
      <c r="C197" s="33" t="s">
        <v>3534</v>
      </c>
      <c r="D197" s="43"/>
      <c r="E197" s="44"/>
      <c r="F197" s="8"/>
      <c r="G197" s="23" t="s">
        <v>3983</v>
      </c>
      <c r="H197" s="43">
        <f>AVERAGE(F198:F200)</f>
        <v>4.7156294773562667E-2</v>
      </c>
      <c r="I197" s="8"/>
      <c r="J197" s="44"/>
      <c r="K197" s="9">
        <f t="shared" si="12"/>
        <v>0</v>
      </c>
      <c r="L197" s="43"/>
    </row>
    <row r="198" spans="1:12" ht="12.75" customHeight="1">
      <c r="A198" s="1" t="s">
        <v>3645</v>
      </c>
      <c r="B198" s="7">
        <v>52.3</v>
      </c>
      <c r="C198" s="7">
        <v>53.45</v>
      </c>
      <c r="D198" s="16">
        <f>(C198-B198)/B198</f>
        <v>2.1988527724665502E-2</v>
      </c>
      <c r="E198" s="9">
        <v>53.51</v>
      </c>
      <c r="F198" s="16">
        <f>(C198-E198)/E198</f>
        <v>-1.1212857409829036E-3</v>
      </c>
      <c r="J198" s="9"/>
      <c r="K198" s="9">
        <f t="shared" si="12"/>
        <v>0</v>
      </c>
      <c r="L198" s="16"/>
    </row>
    <row r="199" spans="1:12" ht="12.75" customHeight="1">
      <c r="A199" s="1" t="s">
        <v>3646</v>
      </c>
      <c r="B199" s="7">
        <v>55.05</v>
      </c>
      <c r="C199" s="7">
        <v>56.2</v>
      </c>
      <c r="D199" s="16">
        <f>(C199-B199)/B199</f>
        <v>2.0890099909173582E-2</v>
      </c>
      <c r="E199" s="9">
        <v>53.51</v>
      </c>
      <c r="F199" s="16">
        <f>(C199-E199)/E199</f>
        <v>5.0270977387404318E-2</v>
      </c>
      <c r="J199" s="9"/>
      <c r="K199" s="9">
        <f t="shared" si="12"/>
        <v>0</v>
      </c>
      <c r="L199" s="16"/>
    </row>
    <row r="200" spans="1:12" ht="12.75" customHeight="1">
      <c r="A200" s="1" t="s">
        <v>3647</v>
      </c>
      <c r="B200" s="7">
        <v>57.3</v>
      </c>
      <c r="C200" s="7">
        <v>58.45</v>
      </c>
      <c r="D200" s="16">
        <f>(C200-B200)/B200</f>
        <v>2.0069808027923311E-2</v>
      </c>
      <c r="E200" s="9">
        <v>53.51</v>
      </c>
      <c r="F200" s="16">
        <f>(C200-E200)/E200</f>
        <v>9.2319192674266581E-2</v>
      </c>
      <c r="J200" s="9"/>
      <c r="K200" s="9">
        <f t="shared" si="12"/>
        <v>0</v>
      </c>
      <c r="L200" s="16"/>
    </row>
    <row r="201" spans="1:12">
      <c r="A201" s="1"/>
      <c r="B201" s="7"/>
      <c r="C201" s="7"/>
      <c r="D201" s="16"/>
      <c r="E201" s="9"/>
      <c r="J201" s="9"/>
      <c r="K201" s="9">
        <f t="shared" si="12"/>
        <v>0</v>
      </c>
      <c r="L201" s="16"/>
    </row>
    <row r="202" spans="1:12" ht="12.75" customHeight="1">
      <c r="A202" s="2" t="s">
        <v>3648</v>
      </c>
      <c r="B202" s="7"/>
      <c r="C202" s="31"/>
      <c r="D202" s="43"/>
      <c r="E202" s="44"/>
      <c r="F202" s="8"/>
      <c r="G202" s="23" t="s">
        <v>3984</v>
      </c>
      <c r="H202" s="8"/>
      <c r="I202" s="43">
        <f>AVERAGE(F203)</f>
        <v>0</v>
      </c>
      <c r="J202" s="44"/>
      <c r="K202" s="9">
        <f t="shared" si="12"/>
        <v>0</v>
      </c>
      <c r="L202" s="43"/>
    </row>
    <row r="203" spans="1:12" ht="12.75" customHeight="1">
      <c r="A203" s="1" t="s">
        <v>3650</v>
      </c>
      <c r="B203" s="7">
        <v>43.24</v>
      </c>
      <c r="C203" s="7">
        <v>31.15</v>
      </c>
      <c r="D203" s="16">
        <f>(C203-B203)/B203</f>
        <v>-0.27960222016651254</v>
      </c>
      <c r="E203" s="9">
        <v>31.15</v>
      </c>
      <c r="F203" s="16">
        <f>(C203-E203)/E203</f>
        <v>0</v>
      </c>
      <c r="J203" s="9">
        <v>31.44</v>
      </c>
      <c r="K203" s="9">
        <f t="shared" si="12"/>
        <v>44.015999999999998</v>
      </c>
      <c r="L203" s="16">
        <f>(C203-K203)/K203</f>
        <v>-0.29230279898218831</v>
      </c>
    </row>
    <row r="204" spans="1:12">
      <c r="A204" s="1"/>
      <c r="B204" s="7"/>
      <c r="C204" s="7"/>
      <c r="D204" s="16"/>
      <c r="E204" s="9"/>
      <c r="J204" s="9"/>
      <c r="K204" s="9">
        <f t="shared" si="12"/>
        <v>0</v>
      </c>
      <c r="L204" s="16"/>
    </row>
    <row r="205" spans="1:12" ht="12.75" customHeight="1">
      <c r="A205" s="2" t="s">
        <v>3651</v>
      </c>
      <c r="B205" s="11" t="s">
        <v>3534</v>
      </c>
      <c r="C205" s="33" t="s">
        <v>3534</v>
      </c>
      <c r="D205" s="43"/>
      <c r="E205" s="44"/>
      <c r="F205" s="8"/>
      <c r="G205" s="23" t="s">
        <v>3983</v>
      </c>
      <c r="H205" s="43">
        <f>AVERAGE(F206)</f>
        <v>1.227678571428565E-2</v>
      </c>
      <c r="I205" s="8"/>
      <c r="J205" s="44"/>
      <c r="K205" s="9">
        <f t="shared" si="12"/>
        <v>0</v>
      </c>
      <c r="L205" s="43"/>
    </row>
    <row r="206" spans="1:12" ht="12.75" customHeight="1">
      <c r="A206" s="1" t="s">
        <v>3652</v>
      </c>
      <c r="B206" s="7">
        <v>35.49</v>
      </c>
      <c r="C206" s="7">
        <v>36.28</v>
      </c>
      <c r="D206" s="16">
        <f>(C206-B206)/B206</f>
        <v>2.2259791490560697E-2</v>
      </c>
      <c r="E206" s="9">
        <v>35.840000000000003</v>
      </c>
      <c r="F206" s="16">
        <f>(C206-E206)/E206</f>
        <v>1.227678571428565E-2</v>
      </c>
      <c r="J206" s="9"/>
      <c r="K206" s="9">
        <f t="shared" si="12"/>
        <v>0</v>
      </c>
      <c r="L206" s="16"/>
    </row>
    <row r="207" spans="1:12">
      <c r="A207" s="1"/>
      <c r="B207" s="7"/>
      <c r="C207" s="7"/>
      <c r="D207" s="16"/>
      <c r="E207" s="9"/>
      <c r="J207" s="9"/>
      <c r="K207" s="9">
        <f t="shared" si="12"/>
        <v>0</v>
      </c>
      <c r="L207" s="16"/>
    </row>
    <row r="208" spans="1:12" ht="12.75" customHeight="1">
      <c r="A208" s="2" t="s">
        <v>3653</v>
      </c>
      <c r="B208" s="12" t="s">
        <v>3510</v>
      </c>
      <c r="C208" s="44"/>
      <c r="D208" s="43"/>
      <c r="E208" s="44"/>
      <c r="F208" s="8"/>
      <c r="G208" s="23" t="s">
        <v>3983</v>
      </c>
      <c r="H208" s="43">
        <f>AVERAGE(F209)</f>
        <v>1.0195758564437194E-2</v>
      </c>
      <c r="I208" s="8"/>
      <c r="J208" s="44"/>
      <c r="K208" s="9">
        <f t="shared" si="12"/>
        <v>0</v>
      </c>
      <c r="L208" s="43"/>
    </row>
    <row r="209" spans="1:12" ht="12.75" customHeight="1">
      <c r="A209" s="1" t="s">
        <v>3654</v>
      </c>
      <c r="B209" s="7">
        <v>32.479999999999997</v>
      </c>
      <c r="C209" s="7">
        <v>24.77</v>
      </c>
      <c r="D209" s="16">
        <f>(C209-B209)/B209</f>
        <v>-0.23737684729064035</v>
      </c>
      <c r="E209" s="9">
        <v>24.52</v>
      </c>
      <c r="F209" s="16">
        <f>(C209-E209)/E209</f>
        <v>1.0195758564437194E-2</v>
      </c>
      <c r="J209" s="9"/>
      <c r="K209" s="9">
        <f t="shared" ref="K209:K236" si="16">J209*1.4</f>
        <v>0</v>
      </c>
      <c r="L209" s="16"/>
    </row>
    <row r="210" spans="1:12">
      <c r="A210" s="1"/>
      <c r="B210" s="7"/>
      <c r="C210" s="7"/>
      <c r="D210" s="16"/>
      <c r="E210" s="9"/>
      <c r="J210" s="9"/>
      <c r="K210" s="9">
        <f t="shared" si="16"/>
        <v>0</v>
      </c>
      <c r="L210" s="16"/>
    </row>
    <row r="211" spans="1:12" ht="12.75" customHeight="1">
      <c r="A211" s="2" t="s">
        <v>3655</v>
      </c>
      <c r="B211" s="12" t="s">
        <v>3510</v>
      </c>
      <c r="C211" s="44"/>
      <c r="D211" s="43"/>
      <c r="E211" s="44"/>
      <c r="F211" s="8"/>
      <c r="G211" s="23" t="s">
        <v>3983</v>
      </c>
      <c r="H211" s="43">
        <f>AVERAGE(F212:F217)</f>
        <v>4.1518034086404983E-2</v>
      </c>
      <c r="I211" s="8"/>
      <c r="J211" s="44"/>
      <c r="K211" s="9">
        <f t="shared" si="16"/>
        <v>0</v>
      </c>
      <c r="L211" s="43"/>
    </row>
    <row r="212" spans="1:12" ht="12.75" customHeight="1">
      <c r="A212" s="1" t="s">
        <v>3656</v>
      </c>
      <c r="B212" s="7">
        <v>25</v>
      </c>
      <c r="C212" s="7">
        <v>32.869999999999997</v>
      </c>
      <c r="D212" s="16">
        <f t="shared" ref="D212:D217" si="17">(C212-B212)/B212</f>
        <v>0.31479999999999991</v>
      </c>
      <c r="E212" s="9">
        <v>33.64</v>
      </c>
      <c r="F212" s="16">
        <f t="shared" ref="F212:F217" si="18">(C212-E212)/E212</f>
        <v>-2.2889417360285467E-2</v>
      </c>
      <c r="J212" s="9"/>
      <c r="K212" s="9">
        <f t="shared" si="16"/>
        <v>0</v>
      </c>
      <c r="L212" s="16"/>
    </row>
    <row r="213" spans="1:12" ht="12.75" customHeight="1">
      <c r="A213" s="1" t="s">
        <v>3657</v>
      </c>
      <c r="B213" s="7">
        <v>25</v>
      </c>
      <c r="C213" s="7">
        <v>34.119999999999997</v>
      </c>
      <c r="D213" s="16">
        <f t="shared" si="17"/>
        <v>0.3647999999999999</v>
      </c>
      <c r="E213" s="9">
        <v>33.64</v>
      </c>
      <c r="F213" s="16">
        <f t="shared" si="18"/>
        <v>1.4268727705112868E-2</v>
      </c>
      <c r="J213" s="9"/>
      <c r="K213" s="9">
        <f t="shared" si="16"/>
        <v>0</v>
      </c>
      <c r="L213" s="16"/>
    </row>
    <row r="214" spans="1:12" ht="12.75" customHeight="1">
      <c r="A214" s="1" t="s">
        <v>3916</v>
      </c>
      <c r="B214" s="7">
        <v>25</v>
      </c>
      <c r="C214" s="7">
        <v>35.869999999999997</v>
      </c>
      <c r="D214" s="16">
        <f t="shared" si="17"/>
        <v>0.43479999999999991</v>
      </c>
      <c r="E214" s="9">
        <v>33.64</v>
      </c>
      <c r="F214" s="16">
        <f t="shared" si="18"/>
        <v>6.6290130796670538E-2</v>
      </c>
      <c r="J214" s="9"/>
      <c r="K214" s="9">
        <f t="shared" si="16"/>
        <v>0</v>
      </c>
      <c r="L214" s="16"/>
    </row>
    <row r="215" spans="1:12" ht="12.75" customHeight="1">
      <c r="A215" s="1" t="s">
        <v>3659</v>
      </c>
      <c r="B215" s="7">
        <v>25</v>
      </c>
      <c r="C215" s="7">
        <v>34.369999999999997</v>
      </c>
      <c r="D215" s="16">
        <f t="shared" si="17"/>
        <v>0.37479999999999991</v>
      </c>
      <c r="E215" s="9">
        <v>33.64</v>
      </c>
      <c r="F215" s="16">
        <f t="shared" si="18"/>
        <v>2.1700356718192534E-2</v>
      </c>
      <c r="J215" s="9"/>
      <c r="K215" s="9">
        <f t="shared" si="16"/>
        <v>0</v>
      </c>
      <c r="L215" s="16"/>
    </row>
    <row r="216" spans="1:12" ht="12.75" customHeight="1">
      <c r="A216" s="1" t="s">
        <v>3660</v>
      </c>
      <c r="B216" s="7">
        <v>25</v>
      </c>
      <c r="C216" s="7">
        <v>35.619999999999997</v>
      </c>
      <c r="D216" s="16">
        <f t="shared" si="17"/>
        <v>0.4247999999999999</v>
      </c>
      <c r="E216" s="9">
        <v>33.64</v>
      </c>
      <c r="F216" s="16">
        <f t="shared" si="18"/>
        <v>5.8858501783590866E-2</v>
      </c>
      <c r="J216" s="9"/>
      <c r="K216" s="9">
        <f t="shared" si="16"/>
        <v>0</v>
      </c>
      <c r="L216" s="16"/>
    </row>
    <row r="217" spans="1:12" ht="12.75" customHeight="1">
      <c r="A217" s="1" t="s">
        <v>3661</v>
      </c>
      <c r="B217" s="7">
        <v>25</v>
      </c>
      <c r="C217" s="7">
        <v>37.369999999999997</v>
      </c>
      <c r="D217" s="16">
        <f t="shared" si="17"/>
        <v>0.49479999999999991</v>
      </c>
      <c r="E217" s="9">
        <v>33.64</v>
      </c>
      <c r="F217" s="16">
        <f t="shared" si="18"/>
        <v>0.11087990487514854</v>
      </c>
      <c r="J217" s="9"/>
      <c r="K217" s="9">
        <f t="shared" si="16"/>
        <v>0</v>
      </c>
      <c r="L217" s="16"/>
    </row>
    <row r="218" spans="1:12">
      <c r="A218" s="1"/>
      <c r="B218" s="7"/>
      <c r="C218" s="7"/>
      <c r="D218" s="16"/>
      <c r="E218" s="9"/>
      <c r="J218" s="9"/>
      <c r="K218" s="9">
        <f t="shared" si="16"/>
        <v>0</v>
      </c>
      <c r="L218" s="16"/>
    </row>
    <row r="219" spans="1:12">
      <c r="A219" s="1"/>
      <c r="B219" s="7"/>
      <c r="C219" s="7"/>
      <c r="D219" s="16"/>
      <c r="E219" s="9"/>
      <c r="J219" s="9"/>
      <c r="K219" s="9">
        <f t="shared" si="16"/>
        <v>0</v>
      </c>
      <c r="L219" s="16"/>
    </row>
    <row r="220" spans="1:12" ht="51">
      <c r="A220" s="2" t="s">
        <v>3662</v>
      </c>
      <c r="B220" s="12" t="s">
        <v>3547</v>
      </c>
      <c r="C220" s="51"/>
      <c r="D220" s="43"/>
      <c r="E220" s="44"/>
      <c r="F220" s="8"/>
      <c r="G220" s="23"/>
      <c r="H220" s="8"/>
      <c r="I220" s="8"/>
      <c r="J220" s="44"/>
      <c r="K220" s="9">
        <f t="shared" si="16"/>
        <v>0</v>
      </c>
      <c r="L220" s="43"/>
    </row>
    <row r="221" spans="1:12" ht="12.75" customHeight="1">
      <c r="A221" s="1" t="s">
        <v>3663</v>
      </c>
      <c r="B221" s="7">
        <v>30.82</v>
      </c>
      <c r="C221" s="7">
        <v>30.82</v>
      </c>
      <c r="D221" s="16">
        <f>(C221-B221)/B221</f>
        <v>0</v>
      </c>
      <c r="E221" s="9"/>
      <c r="J221" s="9"/>
      <c r="K221" s="9">
        <f t="shared" si="16"/>
        <v>0</v>
      </c>
      <c r="L221" s="16"/>
    </row>
    <row r="222" spans="1:12">
      <c r="A222" s="143"/>
      <c r="B222" s="143"/>
      <c r="C222" s="7"/>
      <c r="D222" s="16"/>
      <c r="E222" s="9"/>
      <c r="J222" s="9"/>
      <c r="K222" s="9">
        <f t="shared" si="16"/>
        <v>0</v>
      </c>
      <c r="L222" s="16"/>
    </row>
    <row r="223" spans="1:12" ht="12.75" customHeight="1">
      <c r="A223" s="2" t="s">
        <v>3917</v>
      </c>
      <c r="B223" s="7"/>
      <c r="C223" s="8" t="s">
        <v>3480</v>
      </c>
      <c r="D223" s="43"/>
      <c r="E223" s="44"/>
      <c r="F223" s="8"/>
      <c r="G223" s="23" t="s">
        <v>3984</v>
      </c>
      <c r="H223" s="8"/>
      <c r="I223" s="43">
        <f>AVERAGE(F224)</f>
        <v>2.1611001964636604E-2</v>
      </c>
      <c r="J223" s="44"/>
      <c r="K223" s="9">
        <f t="shared" si="16"/>
        <v>0</v>
      </c>
      <c r="L223" s="43"/>
    </row>
    <row r="224" spans="1:12" ht="12.75" customHeight="1">
      <c r="A224" s="1" t="s">
        <v>3665</v>
      </c>
      <c r="B224" s="7">
        <v>21.61</v>
      </c>
      <c r="C224" s="7">
        <v>20.8</v>
      </c>
      <c r="D224" s="16">
        <f>(C224-B224)/B224</f>
        <v>-3.7482646922720901E-2</v>
      </c>
      <c r="E224" s="9">
        <v>20.36</v>
      </c>
      <c r="F224" s="16">
        <f>(C224-E224)/E224</f>
        <v>2.1611001964636604E-2</v>
      </c>
      <c r="J224" s="9">
        <v>15.43</v>
      </c>
      <c r="K224" s="9">
        <f t="shared" si="16"/>
        <v>21.601999999999997</v>
      </c>
      <c r="L224" s="16">
        <f>(C224-K224)/K224</f>
        <v>-3.7126192019257299E-2</v>
      </c>
    </row>
    <row r="225" spans="1:12">
      <c r="A225" s="1"/>
      <c r="B225" s="7"/>
      <c r="C225" s="7"/>
      <c r="D225" s="16"/>
      <c r="E225" s="9"/>
      <c r="J225" s="9"/>
      <c r="K225" s="9">
        <f t="shared" si="16"/>
        <v>0</v>
      </c>
      <c r="L225" s="16"/>
    </row>
    <row r="226" spans="1:12" ht="12.75" customHeight="1">
      <c r="A226" s="2" t="s">
        <v>3666</v>
      </c>
      <c r="B226" s="7"/>
      <c r="C226" s="8" t="s">
        <v>3481</v>
      </c>
      <c r="D226" s="43"/>
      <c r="E226" s="44"/>
      <c r="F226" s="8"/>
      <c r="G226" s="23" t="s">
        <v>3984</v>
      </c>
      <c r="H226" s="8"/>
      <c r="I226" s="43">
        <f>AVERAGE(F227)</f>
        <v>0</v>
      </c>
      <c r="J226" s="44"/>
      <c r="K226" s="9">
        <f t="shared" si="16"/>
        <v>0</v>
      </c>
      <c r="L226" s="43"/>
    </row>
    <row r="227" spans="1:12" ht="12.75" customHeight="1">
      <c r="A227" s="1" t="s">
        <v>3667</v>
      </c>
      <c r="B227" s="7">
        <v>21.32</v>
      </c>
      <c r="C227" s="7">
        <v>54.49</v>
      </c>
      <c r="D227" s="16">
        <f>(C227-B227)/B227</f>
        <v>1.5558161350844277</v>
      </c>
      <c r="E227" s="9">
        <v>54.49</v>
      </c>
      <c r="F227" s="16">
        <f>(C227-E227)/E227</f>
        <v>0</v>
      </c>
      <c r="J227" s="9"/>
      <c r="K227" s="9">
        <f t="shared" si="16"/>
        <v>0</v>
      </c>
      <c r="L227" s="16"/>
    </row>
    <row r="228" spans="1:12">
      <c r="A228" s="1"/>
      <c r="B228" s="7"/>
      <c r="C228" s="7"/>
      <c r="D228" s="16"/>
      <c r="E228" s="9"/>
      <c r="J228" s="9"/>
      <c r="K228" s="9">
        <f t="shared" si="16"/>
        <v>0</v>
      </c>
      <c r="L228" s="16"/>
    </row>
    <row r="229" spans="1:12" ht="51">
      <c r="A229" s="2" t="s">
        <v>3668</v>
      </c>
      <c r="B229" s="12" t="s">
        <v>3547</v>
      </c>
      <c r="C229" s="36"/>
      <c r="D229" s="43"/>
      <c r="E229" s="44"/>
      <c r="F229" s="8"/>
      <c r="G229" s="23" t="s">
        <v>3983</v>
      </c>
      <c r="H229" s="43">
        <f>AVERAGE(F230)</f>
        <v>2.1562766865926515E-2</v>
      </c>
      <c r="I229" s="8"/>
      <c r="J229" s="44"/>
      <c r="K229" s="9">
        <f t="shared" si="16"/>
        <v>0</v>
      </c>
      <c r="L229" s="43"/>
    </row>
    <row r="230" spans="1:12" ht="12.75" customHeight="1">
      <c r="A230" s="1" t="s">
        <v>3670</v>
      </c>
      <c r="B230" s="7">
        <v>46.1</v>
      </c>
      <c r="C230" s="7">
        <v>47.85</v>
      </c>
      <c r="D230" s="16">
        <f>(C230-B230)/B230</f>
        <v>3.7960954446854663E-2</v>
      </c>
      <c r="E230" s="9">
        <v>46.84</v>
      </c>
      <c r="F230" s="16">
        <f>(C230-E230)/E230</f>
        <v>2.1562766865926515E-2</v>
      </c>
      <c r="J230" s="9"/>
      <c r="K230" s="9">
        <f t="shared" si="16"/>
        <v>0</v>
      </c>
      <c r="L230" s="16"/>
    </row>
    <row r="231" spans="1:12">
      <c r="A231" s="1"/>
      <c r="B231" s="7"/>
      <c r="C231" s="7"/>
      <c r="D231" s="16"/>
      <c r="E231" s="9"/>
      <c r="J231" s="9"/>
      <c r="K231" s="9">
        <f t="shared" si="16"/>
        <v>0</v>
      </c>
      <c r="L231" s="16"/>
    </row>
    <row r="232" spans="1:12" ht="12.75" customHeight="1">
      <c r="A232" s="2" t="s">
        <v>3671</v>
      </c>
      <c r="B232" s="7"/>
      <c r="C232" s="31"/>
      <c r="D232" s="43"/>
      <c r="E232" s="44"/>
      <c r="F232" s="8"/>
      <c r="G232" s="23" t="s">
        <v>3983</v>
      </c>
      <c r="H232" s="43">
        <f>AVERAGE(F233)</f>
        <v>-2.9934847684451788E-3</v>
      </c>
      <c r="I232" s="8"/>
      <c r="J232" s="44"/>
      <c r="K232" s="9">
        <f t="shared" si="16"/>
        <v>0</v>
      </c>
      <c r="L232" s="43"/>
    </row>
    <row r="233" spans="1:12" ht="12.75" customHeight="1">
      <c r="A233" s="1" t="s">
        <v>3672</v>
      </c>
      <c r="B233" s="7">
        <v>44.64</v>
      </c>
      <c r="C233" s="7">
        <v>56.62</v>
      </c>
      <c r="D233" s="16">
        <f>(C233-B233)/B233</f>
        <v>0.26836917562724005</v>
      </c>
      <c r="E233" s="9">
        <v>56.79</v>
      </c>
      <c r="F233" s="16">
        <f>(C233-E233)/E233</f>
        <v>-2.9934847684451788E-3</v>
      </c>
      <c r="J233" s="9"/>
      <c r="K233" s="9">
        <f t="shared" si="16"/>
        <v>0</v>
      </c>
      <c r="L233" s="16"/>
    </row>
    <row r="234" spans="1:12">
      <c r="A234" s="1"/>
      <c r="B234" s="7"/>
      <c r="C234" s="7"/>
      <c r="D234" s="16"/>
      <c r="E234" s="9"/>
      <c r="J234" s="9"/>
      <c r="K234" s="9">
        <f t="shared" si="16"/>
        <v>0</v>
      </c>
      <c r="L234" s="16"/>
    </row>
    <row r="235" spans="1:12" ht="12.75" customHeight="1">
      <c r="A235" s="2" t="s">
        <v>3673</v>
      </c>
      <c r="B235" s="7"/>
      <c r="C235" s="31"/>
      <c r="D235" s="43"/>
      <c r="E235" s="44"/>
      <c r="F235" s="8"/>
      <c r="G235" s="23"/>
      <c r="H235" s="43">
        <f>AVERAGE(F236)</f>
        <v>-2.9934847684451788E-3</v>
      </c>
      <c r="I235" s="8"/>
      <c r="J235" s="44"/>
      <c r="K235" s="9">
        <f t="shared" si="16"/>
        <v>0</v>
      </c>
      <c r="L235" s="43"/>
    </row>
    <row r="236" spans="1:12" ht="12.75" customHeight="1">
      <c r="A236" s="1" t="s">
        <v>3674</v>
      </c>
      <c r="B236" s="7">
        <v>44.64</v>
      </c>
      <c r="C236" s="7">
        <v>56.62</v>
      </c>
      <c r="D236" s="16">
        <f>(C236-B236)/B236</f>
        <v>0.26836917562724005</v>
      </c>
      <c r="E236" s="9">
        <v>56.79</v>
      </c>
      <c r="F236" s="16">
        <f>(C236-E236)/E236</f>
        <v>-2.9934847684451788E-3</v>
      </c>
      <c r="J236" s="9"/>
      <c r="K236" s="9">
        <f t="shared" si="16"/>
        <v>0</v>
      </c>
      <c r="L236" s="16"/>
    </row>
    <row r="237" spans="1:12">
      <c r="D237" s="16"/>
    </row>
    <row r="238" spans="1:12">
      <c r="A238" s="8" t="s">
        <v>3988</v>
      </c>
      <c r="B238" s="7"/>
      <c r="D238" s="16"/>
      <c r="E238" s="9"/>
      <c r="F238" s="16"/>
    </row>
    <row r="239" spans="1:12">
      <c r="A239" s="1" t="s">
        <v>3986</v>
      </c>
      <c r="B239" s="7"/>
      <c r="D239" s="16"/>
      <c r="E239" s="9"/>
      <c r="F239" s="16"/>
      <c r="G239" s="40">
        <f>COUNTIF(G4:G236,"Y")</f>
        <v>30</v>
      </c>
    </row>
    <row r="240" spans="1:12">
      <c r="A240" s="1" t="s">
        <v>3987</v>
      </c>
      <c r="B240" s="7"/>
      <c r="D240" s="16"/>
      <c r="E240" s="9"/>
      <c r="F240" s="16"/>
      <c r="G240" s="41">
        <f>COUNTIF(G3:G239,"N")</f>
        <v>8</v>
      </c>
    </row>
    <row r="241" spans="1:7">
      <c r="A241" s="8" t="s">
        <v>3985</v>
      </c>
      <c r="B241"/>
      <c r="E241" s="9"/>
      <c r="F241" s="16"/>
      <c r="G241" s="23">
        <f>SUM(G239:G240)</f>
        <v>38</v>
      </c>
    </row>
    <row r="242" spans="1:7">
      <c r="D242" s="16"/>
    </row>
    <row r="243" spans="1:7">
      <c r="D243" s="16"/>
    </row>
    <row r="244" spans="1:7">
      <c r="D244" s="16"/>
    </row>
    <row r="245" spans="1:7">
      <c r="D245" s="16"/>
    </row>
    <row r="246" spans="1:7">
      <c r="D246" s="16"/>
    </row>
    <row r="247" spans="1:7">
      <c r="D247" s="16"/>
    </row>
    <row r="248" spans="1:7">
      <c r="D248" s="16"/>
    </row>
    <row r="249" spans="1:7">
      <c r="D249" s="16"/>
    </row>
    <row r="250" spans="1:7">
      <c r="D250" s="16"/>
    </row>
    <row r="251" spans="1:7">
      <c r="D251" s="16"/>
    </row>
    <row r="252" spans="1:7">
      <c r="D252" s="16"/>
    </row>
    <row r="253" spans="1:7">
      <c r="D253" s="16"/>
    </row>
    <row r="254" spans="1:7">
      <c r="D254" s="16"/>
    </row>
    <row r="255" spans="1:7">
      <c r="D255" s="16"/>
    </row>
    <row r="256" spans="1:7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  <row r="504" spans="4:4">
      <c r="D504" s="16"/>
    </row>
    <row r="505" spans="4:4">
      <c r="D505" s="16"/>
    </row>
    <row r="506" spans="4:4">
      <c r="D506" s="16"/>
    </row>
    <row r="507" spans="4:4">
      <c r="D507" s="16"/>
    </row>
    <row r="508" spans="4:4">
      <c r="D508" s="16"/>
    </row>
    <row r="509" spans="4:4">
      <c r="D509" s="16"/>
    </row>
    <row r="510" spans="4:4">
      <c r="D510" s="16"/>
    </row>
    <row r="511" spans="4:4">
      <c r="D511" s="16"/>
    </row>
    <row r="512" spans="4:4">
      <c r="D512" s="16"/>
    </row>
    <row r="513" spans="4:4">
      <c r="D513" s="16"/>
    </row>
    <row r="514" spans="4:4">
      <c r="D514" s="16"/>
    </row>
    <row r="515" spans="4:4">
      <c r="D515" s="16"/>
    </row>
    <row r="516" spans="4:4">
      <c r="D516" s="16"/>
    </row>
    <row r="517" spans="4:4">
      <c r="D517" s="16"/>
    </row>
    <row r="518" spans="4:4">
      <c r="D518" s="16"/>
    </row>
    <row r="519" spans="4:4">
      <c r="D519" s="16"/>
    </row>
    <row r="520" spans="4:4">
      <c r="D520" s="16"/>
    </row>
    <row r="521" spans="4:4">
      <c r="D521" s="16"/>
    </row>
    <row r="522" spans="4:4">
      <c r="D522" s="16"/>
    </row>
    <row r="523" spans="4:4">
      <c r="D523" s="16"/>
    </row>
    <row r="524" spans="4:4">
      <c r="D524" s="16"/>
    </row>
    <row r="525" spans="4:4">
      <c r="D525" s="16"/>
    </row>
    <row r="526" spans="4:4">
      <c r="D526" s="16"/>
    </row>
    <row r="527" spans="4:4">
      <c r="D527" s="16"/>
    </row>
    <row r="528" spans="4:4">
      <c r="D528" s="16"/>
    </row>
    <row r="529" spans="4:4">
      <c r="D529" s="16"/>
    </row>
    <row r="530" spans="4:4">
      <c r="D530" s="16"/>
    </row>
    <row r="531" spans="4:4">
      <c r="D531" s="16"/>
    </row>
    <row r="532" spans="4:4">
      <c r="D532" s="16"/>
    </row>
    <row r="533" spans="4:4">
      <c r="D533" s="16"/>
    </row>
    <row r="534" spans="4:4">
      <c r="D534" s="16"/>
    </row>
    <row r="535" spans="4:4">
      <c r="D535" s="16"/>
    </row>
    <row r="536" spans="4:4">
      <c r="D536" s="16"/>
    </row>
    <row r="537" spans="4:4">
      <c r="D537" s="16"/>
    </row>
    <row r="538" spans="4:4">
      <c r="D538" s="16"/>
    </row>
    <row r="539" spans="4:4">
      <c r="D539" s="16"/>
    </row>
    <row r="540" spans="4:4">
      <c r="D540" s="16"/>
    </row>
    <row r="541" spans="4:4">
      <c r="D541" s="16"/>
    </row>
    <row r="542" spans="4:4">
      <c r="D542" s="16"/>
    </row>
    <row r="543" spans="4:4">
      <c r="D543" s="16"/>
    </row>
    <row r="544" spans="4:4">
      <c r="D544" s="16"/>
    </row>
    <row r="545" spans="4:4">
      <c r="D545" s="16"/>
    </row>
    <row r="546" spans="4:4">
      <c r="D546" s="16"/>
    </row>
    <row r="547" spans="4:4">
      <c r="D547" s="16"/>
    </row>
    <row r="548" spans="4:4">
      <c r="D548" s="16"/>
    </row>
    <row r="549" spans="4:4">
      <c r="D549" s="16"/>
    </row>
    <row r="550" spans="4:4">
      <c r="D550" s="16"/>
    </row>
    <row r="551" spans="4:4">
      <c r="D551" s="16"/>
    </row>
    <row r="552" spans="4:4">
      <c r="D552" s="16"/>
    </row>
    <row r="553" spans="4:4">
      <c r="D553" s="16"/>
    </row>
    <row r="554" spans="4:4">
      <c r="D554" s="16"/>
    </row>
    <row r="555" spans="4:4">
      <c r="D555" s="16"/>
    </row>
    <row r="556" spans="4:4">
      <c r="D556" s="16"/>
    </row>
    <row r="557" spans="4:4">
      <c r="D557" s="16"/>
    </row>
    <row r="558" spans="4:4">
      <c r="D558" s="16"/>
    </row>
    <row r="559" spans="4:4">
      <c r="D559" s="16"/>
    </row>
    <row r="560" spans="4:4">
      <c r="D560" s="16"/>
    </row>
    <row r="561" spans="4:4">
      <c r="D561" s="16"/>
    </row>
    <row r="562" spans="4:4">
      <c r="D562" s="16"/>
    </row>
    <row r="563" spans="4:4">
      <c r="D563" s="16"/>
    </row>
    <row r="564" spans="4:4">
      <c r="D564" s="16"/>
    </row>
    <row r="565" spans="4:4">
      <c r="D565" s="16"/>
    </row>
    <row r="566" spans="4:4">
      <c r="D566" s="16"/>
    </row>
    <row r="567" spans="4:4">
      <c r="D567" s="16"/>
    </row>
    <row r="568" spans="4:4">
      <c r="D568" s="16"/>
    </row>
    <row r="569" spans="4:4">
      <c r="D569" s="16"/>
    </row>
    <row r="570" spans="4:4">
      <c r="D570" s="16"/>
    </row>
    <row r="571" spans="4:4">
      <c r="D571" s="16"/>
    </row>
    <row r="572" spans="4:4">
      <c r="D572" s="16"/>
    </row>
    <row r="573" spans="4:4">
      <c r="D573" s="16"/>
    </row>
    <row r="574" spans="4:4">
      <c r="D574" s="16"/>
    </row>
    <row r="575" spans="4:4">
      <c r="D575" s="16"/>
    </row>
    <row r="576" spans="4:4">
      <c r="D576" s="16"/>
    </row>
    <row r="577" spans="4:4">
      <c r="D577" s="16"/>
    </row>
    <row r="578" spans="4:4">
      <c r="D578" s="16"/>
    </row>
    <row r="579" spans="4:4">
      <c r="D579" s="16"/>
    </row>
    <row r="580" spans="4:4">
      <c r="D580" s="16"/>
    </row>
    <row r="581" spans="4:4">
      <c r="D581" s="16"/>
    </row>
    <row r="582" spans="4:4">
      <c r="D582" s="16"/>
    </row>
    <row r="583" spans="4:4">
      <c r="D583" s="16"/>
    </row>
    <row r="584" spans="4:4">
      <c r="D584" s="16"/>
    </row>
    <row r="585" spans="4:4">
      <c r="D585" s="16"/>
    </row>
    <row r="586" spans="4:4">
      <c r="D586" s="16"/>
    </row>
    <row r="587" spans="4:4">
      <c r="D587" s="16"/>
    </row>
    <row r="588" spans="4:4">
      <c r="D588" s="16"/>
    </row>
    <row r="589" spans="4:4">
      <c r="D589" s="16"/>
    </row>
    <row r="590" spans="4:4">
      <c r="D590" s="16"/>
    </row>
    <row r="591" spans="4:4">
      <c r="D591" s="16"/>
    </row>
    <row r="592" spans="4:4">
      <c r="D592" s="16"/>
    </row>
    <row r="593" spans="4:4">
      <c r="D593" s="16"/>
    </row>
    <row r="594" spans="4:4">
      <c r="D594" s="16"/>
    </row>
    <row r="595" spans="4:4">
      <c r="D595" s="16"/>
    </row>
    <row r="596" spans="4:4">
      <c r="D596" s="16"/>
    </row>
    <row r="597" spans="4:4">
      <c r="D597" s="16"/>
    </row>
    <row r="598" spans="4:4">
      <c r="D598" s="16"/>
    </row>
    <row r="599" spans="4:4">
      <c r="D599" s="16"/>
    </row>
    <row r="600" spans="4:4">
      <c r="D600" s="16"/>
    </row>
    <row r="601" spans="4:4">
      <c r="D601" s="16"/>
    </row>
    <row r="602" spans="4:4">
      <c r="D602" s="16"/>
    </row>
    <row r="603" spans="4:4">
      <c r="D603" s="16"/>
    </row>
    <row r="604" spans="4:4">
      <c r="D604" s="16"/>
    </row>
    <row r="605" spans="4:4">
      <c r="D605" s="16"/>
    </row>
    <row r="606" spans="4:4">
      <c r="D606" s="16"/>
    </row>
    <row r="607" spans="4:4">
      <c r="D607" s="16"/>
    </row>
    <row r="608" spans="4:4">
      <c r="D608" s="16"/>
    </row>
    <row r="609" spans="4:4">
      <c r="D609" s="16"/>
    </row>
    <row r="610" spans="4:4">
      <c r="D610" s="16"/>
    </row>
    <row r="611" spans="4:4">
      <c r="D611" s="16"/>
    </row>
    <row r="612" spans="4:4">
      <c r="D612" s="16"/>
    </row>
    <row r="613" spans="4:4">
      <c r="D613" s="16"/>
    </row>
    <row r="614" spans="4:4">
      <c r="D614" s="16"/>
    </row>
    <row r="615" spans="4:4">
      <c r="D615" s="16"/>
    </row>
    <row r="616" spans="4:4">
      <c r="D616" s="16"/>
    </row>
    <row r="617" spans="4:4">
      <c r="D617" s="16"/>
    </row>
    <row r="618" spans="4:4">
      <c r="D618" s="16"/>
    </row>
    <row r="619" spans="4:4">
      <c r="D619" s="16"/>
    </row>
    <row r="620" spans="4:4">
      <c r="D620" s="16"/>
    </row>
    <row r="621" spans="4:4">
      <c r="D621" s="16"/>
    </row>
    <row r="622" spans="4:4">
      <c r="D622" s="16"/>
    </row>
    <row r="623" spans="4:4">
      <c r="D623" s="16"/>
    </row>
    <row r="624" spans="4:4">
      <c r="D624" s="16"/>
    </row>
    <row r="625" spans="4:4">
      <c r="D625" s="16"/>
    </row>
    <row r="626" spans="4:4">
      <c r="D626" s="16"/>
    </row>
    <row r="627" spans="4:4">
      <c r="D627" s="16"/>
    </row>
    <row r="628" spans="4:4">
      <c r="D628" s="16"/>
    </row>
    <row r="629" spans="4:4">
      <c r="D629" s="16"/>
    </row>
    <row r="630" spans="4:4">
      <c r="D630" s="16"/>
    </row>
    <row r="631" spans="4:4">
      <c r="D631" s="16"/>
    </row>
    <row r="632" spans="4:4">
      <c r="D632" s="16"/>
    </row>
    <row r="633" spans="4:4">
      <c r="D633" s="16"/>
    </row>
    <row r="634" spans="4:4">
      <c r="D634" s="16"/>
    </row>
    <row r="635" spans="4:4">
      <c r="D635" s="16"/>
    </row>
    <row r="636" spans="4:4">
      <c r="D636" s="16"/>
    </row>
    <row r="637" spans="4:4">
      <c r="D637" s="16"/>
    </row>
    <row r="638" spans="4:4">
      <c r="D638" s="16"/>
    </row>
    <row r="639" spans="4:4">
      <c r="D639" s="16"/>
    </row>
    <row r="640" spans="4:4">
      <c r="D640" s="16"/>
    </row>
    <row r="641" spans="4:4">
      <c r="D641" s="16"/>
    </row>
    <row r="642" spans="4:4">
      <c r="D642" s="16"/>
    </row>
    <row r="643" spans="4:4">
      <c r="D643" s="16"/>
    </row>
    <row r="644" spans="4:4">
      <c r="D644" s="16"/>
    </row>
    <row r="645" spans="4:4">
      <c r="D645" s="16"/>
    </row>
    <row r="646" spans="4:4">
      <c r="D646" s="16"/>
    </row>
    <row r="647" spans="4:4">
      <c r="D647" s="16"/>
    </row>
    <row r="648" spans="4:4">
      <c r="D648" s="16"/>
    </row>
    <row r="649" spans="4:4">
      <c r="D649" s="16"/>
    </row>
    <row r="650" spans="4:4">
      <c r="D650" s="16"/>
    </row>
    <row r="651" spans="4:4">
      <c r="D651" s="16"/>
    </row>
    <row r="652" spans="4:4">
      <c r="D652" s="16"/>
    </row>
    <row r="653" spans="4:4">
      <c r="D653" s="16"/>
    </row>
    <row r="654" spans="4:4">
      <c r="D654" s="16"/>
    </row>
    <row r="655" spans="4:4">
      <c r="D655" s="16"/>
    </row>
    <row r="656" spans="4:4">
      <c r="D656" s="16"/>
    </row>
    <row r="657" spans="4:4">
      <c r="D657" s="16"/>
    </row>
    <row r="658" spans="4:4">
      <c r="D658" s="16"/>
    </row>
    <row r="659" spans="4:4">
      <c r="D659" s="16"/>
    </row>
    <row r="660" spans="4:4">
      <c r="D660" s="16"/>
    </row>
    <row r="661" spans="4:4">
      <c r="D661" s="16"/>
    </row>
    <row r="662" spans="4:4">
      <c r="D662" s="16"/>
    </row>
    <row r="663" spans="4:4">
      <c r="D663" s="16"/>
    </row>
    <row r="664" spans="4:4">
      <c r="D664" s="16"/>
    </row>
    <row r="665" spans="4:4">
      <c r="D665" s="16"/>
    </row>
    <row r="666" spans="4:4">
      <c r="D666" s="16"/>
    </row>
    <row r="667" spans="4:4">
      <c r="D667" s="16"/>
    </row>
    <row r="668" spans="4:4">
      <c r="D668" s="16"/>
    </row>
    <row r="669" spans="4:4">
      <c r="D669" s="16"/>
    </row>
    <row r="670" spans="4:4">
      <c r="D670" s="16"/>
    </row>
    <row r="671" spans="4:4">
      <c r="D671" s="16"/>
    </row>
    <row r="672" spans="4:4">
      <c r="D672" s="16"/>
    </row>
    <row r="673" spans="4:4">
      <c r="D673" s="16"/>
    </row>
    <row r="674" spans="4:4">
      <c r="D674" s="16"/>
    </row>
    <row r="675" spans="4:4">
      <c r="D675" s="16"/>
    </row>
    <row r="676" spans="4:4">
      <c r="D676" s="16"/>
    </row>
    <row r="677" spans="4:4">
      <c r="D677" s="16"/>
    </row>
    <row r="678" spans="4:4">
      <c r="D678" s="16"/>
    </row>
    <row r="679" spans="4:4">
      <c r="D679" s="16"/>
    </row>
    <row r="680" spans="4:4">
      <c r="D680" s="16"/>
    </row>
    <row r="681" spans="4:4">
      <c r="D681" s="16"/>
    </row>
    <row r="682" spans="4:4">
      <c r="D682" s="16"/>
    </row>
    <row r="683" spans="4:4">
      <c r="D683" s="16"/>
    </row>
    <row r="684" spans="4:4">
      <c r="D684" s="16"/>
    </row>
    <row r="685" spans="4:4">
      <c r="D685" s="16"/>
    </row>
    <row r="686" spans="4:4">
      <c r="D686" s="16"/>
    </row>
    <row r="687" spans="4:4">
      <c r="D687" s="16"/>
    </row>
    <row r="688" spans="4:4">
      <c r="D688" s="16"/>
    </row>
    <row r="689" spans="4:4">
      <c r="D689" s="16"/>
    </row>
    <row r="690" spans="4:4">
      <c r="D690" s="16"/>
    </row>
    <row r="691" spans="4:4">
      <c r="D691" s="16"/>
    </row>
    <row r="692" spans="4:4">
      <c r="D692" s="16"/>
    </row>
    <row r="693" spans="4:4">
      <c r="D693" s="16"/>
    </row>
    <row r="694" spans="4:4">
      <c r="D694" s="16"/>
    </row>
    <row r="695" spans="4:4">
      <c r="D695" s="16"/>
    </row>
    <row r="696" spans="4:4">
      <c r="D696" s="16"/>
    </row>
    <row r="697" spans="4:4">
      <c r="D697" s="16"/>
    </row>
    <row r="698" spans="4:4">
      <c r="D698" s="16"/>
    </row>
    <row r="699" spans="4:4">
      <c r="D699" s="16"/>
    </row>
    <row r="700" spans="4:4">
      <c r="D700" s="16"/>
    </row>
    <row r="701" spans="4:4">
      <c r="D701" s="16"/>
    </row>
    <row r="702" spans="4:4">
      <c r="D702" s="16"/>
    </row>
    <row r="703" spans="4:4">
      <c r="D703" s="16"/>
    </row>
    <row r="704" spans="4:4">
      <c r="D704" s="16"/>
    </row>
    <row r="705" spans="4:4">
      <c r="D705" s="16"/>
    </row>
    <row r="706" spans="4:4">
      <c r="D706" s="16"/>
    </row>
    <row r="707" spans="4:4">
      <c r="D707" s="16"/>
    </row>
    <row r="708" spans="4:4">
      <c r="D708" s="16"/>
    </row>
    <row r="709" spans="4:4">
      <c r="D709" s="16"/>
    </row>
    <row r="710" spans="4:4">
      <c r="D710" s="16"/>
    </row>
    <row r="711" spans="4:4">
      <c r="D711" s="16"/>
    </row>
    <row r="712" spans="4:4">
      <c r="D712" s="16"/>
    </row>
    <row r="713" spans="4:4">
      <c r="D713" s="16"/>
    </row>
    <row r="714" spans="4:4">
      <c r="D714" s="16"/>
    </row>
    <row r="715" spans="4:4">
      <c r="D715" s="16"/>
    </row>
    <row r="716" spans="4:4">
      <c r="D716" s="16"/>
    </row>
    <row r="717" spans="4:4">
      <c r="D717" s="16"/>
    </row>
    <row r="718" spans="4:4">
      <c r="D718" s="16"/>
    </row>
    <row r="719" spans="4:4">
      <c r="D719" s="16"/>
    </row>
    <row r="720" spans="4:4">
      <c r="D720" s="16"/>
    </row>
    <row r="721" spans="4:4">
      <c r="D721" s="16"/>
    </row>
    <row r="722" spans="4:4">
      <c r="D722" s="16"/>
    </row>
    <row r="723" spans="4:4">
      <c r="D723" s="16"/>
    </row>
    <row r="724" spans="4:4">
      <c r="D724" s="16"/>
    </row>
    <row r="725" spans="4:4">
      <c r="D725" s="16"/>
    </row>
    <row r="726" spans="4:4">
      <c r="D726" s="16"/>
    </row>
    <row r="727" spans="4:4">
      <c r="D727" s="16"/>
    </row>
    <row r="728" spans="4:4">
      <c r="D728" s="16"/>
    </row>
    <row r="729" spans="4:4">
      <c r="D729" s="16"/>
    </row>
    <row r="730" spans="4:4">
      <c r="D730" s="16"/>
    </row>
    <row r="731" spans="4:4">
      <c r="D731" s="16"/>
    </row>
    <row r="732" spans="4:4">
      <c r="D732" s="16"/>
    </row>
    <row r="733" spans="4:4">
      <c r="D733" s="16"/>
    </row>
    <row r="734" spans="4:4">
      <c r="D734" s="16"/>
    </row>
    <row r="735" spans="4:4">
      <c r="D735" s="16"/>
    </row>
    <row r="736" spans="4:4">
      <c r="D736" s="16"/>
    </row>
    <row r="737" spans="4:4">
      <c r="D737" s="16"/>
    </row>
    <row r="738" spans="4:4">
      <c r="D738" s="16"/>
    </row>
    <row r="739" spans="4:4">
      <c r="D739" s="16"/>
    </row>
    <row r="740" spans="4:4">
      <c r="D740" s="16"/>
    </row>
    <row r="741" spans="4:4">
      <c r="D741" s="16"/>
    </row>
    <row r="742" spans="4:4">
      <c r="D742" s="16"/>
    </row>
    <row r="743" spans="4:4">
      <c r="D743" s="16"/>
    </row>
    <row r="744" spans="4:4">
      <c r="D744" s="16"/>
    </row>
    <row r="745" spans="4:4">
      <c r="D745" s="16"/>
    </row>
    <row r="746" spans="4:4">
      <c r="D746" s="16"/>
    </row>
    <row r="747" spans="4:4">
      <c r="D747" s="16"/>
    </row>
    <row r="748" spans="4:4">
      <c r="D748" s="16"/>
    </row>
    <row r="749" spans="4:4">
      <c r="D749" s="16"/>
    </row>
    <row r="750" spans="4:4">
      <c r="D750" s="16"/>
    </row>
    <row r="751" spans="4:4">
      <c r="D751" s="16"/>
    </row>
    <row r="752" spans="4:4">
      <c r="D752" s="16"/>
    </row>
    <row r="753" spans="4:4">
      <c r="D753" s="16"/>
    </row>
    <row r="754" spans="4:4">
      <c r="D754" s="16"/>
    </row>
    <row r="755" spans="4:4">
      <c r="D755" s="16"/>
    </row>
    <row r="756" spans="4:4">
      <c r="D756" s="16"/>
    </row>
    <row r="757" spans="4:4">
      <c r="D757" s="16"/>
    </row>
    <row r="758" spans="4:4">
      <c r="D758" s="16"/>
    </row>
    <row r="759" spans="4:4">
      <c r="D759" s="16"/>
    </row>
    <row r="760" spans="4:4">
      <c r="D760" s="16"/>
    </row>
    <row r="761" spans="4:4">
      <c r="D761" s="16"/>
    </row>
    <row r="762" spans="4:4">
      <c r="D762" s="16"/>
    </row>
    <row r="763" spans="4:4">
      <c r="D763" s="16"/>
    </row>
    <row r="764" spans="4:4">
      <c r="D764" s="16"/>
    </row>
    <row r="765" spans="4:4">
      <c r="D765" s="16"/>
    </row>
    <row r="766" spans="4:4">
      <c r="D766" s="16"/>
    </row>
    <row r="767" spans="4:4">
      <c r="D767" s="16"/>
    </row>
    <row r="768" spans="4:4">
      <c r="D768" s="16"/>
    </row>
    <row r="769" spans="4:4">
      <c r="D769" s="16"/>
    </row>
    <row r="770" spans="4:4">
      <c r="D770" s="16"/>
    </row>
    <row r="771" spans="4:4">
      <c r="D771" s="16"/>
    </row>
    <row r="772" spans="4:4">
      <c r="D772" s="16"/>
    </row>
    <row r="773" spans="4:4">
      <c r="D773" s="16"/>
    </row>
    <row r="774" spans="4:4">
      <c r="D774" s="16"/>
    </row>
    <row r="775" spans="4:4">
      <c r="D775" s="16"/>
    </row>
    <row r="776" spans="4:4">
      <c r="D776" s="16"/>
    </row>
    <row r="777" spans="4:4">
      <c r="D777" s="16"/>
    </row>
    <row r="778" spans="4:4">
      <c r="D778" s="16"/>
    </row>
    <row r="779" spans="4:4">
      <c r="D779" s="16"/>
    </row>
    <row r="780" spans="4:4">
      <c r="D780" s="16"/>
    </row>
    <row r="781" spans="4:4">
      <c r="D781" s="16"/>
    </row>
    <row r="782" spans="4:4">
      <c r="D782" s="16"/>
    </row>
    <row r="783" spans="4:4">
      <c r="D783" s="16"/>
    </row>
    <row r="784" spans="4:4">
      <c r="D784" s="16"/>
    </row>
    <row r="785" spans="4:4">
      <c r="D785" s="16"/>
    </row>
    <row r="786" spans="4:4">
      <c r="D786" s="16"/>
    </row>
    <row r="787" spans="4:4">
      <c r="D787" s="16"/>
    </row>
    <row r="788" spans="4:4">
      <c r="D788" s="16"/>
    </row>
    <row r="789" spans="4:4">
      <c r="D789" s="16"/>
    </row>
    <row r="790" spans="4:4">
      <c r="D790" s="16"/>
    </row>
    <row r="791" spans="4:4">
      <c r="D791" s="16"/>
    </row>
    <row r="792" spans="4:4">
      <c r="D792" s="16"/>
    </row>
    <row r="793" spans="4:4">
      <c r="D793" s="16"/>
    </row>
    <row r="794" spans="4:4">
      <c r="D794" s="16"/>
    </row>
    <row r="795" spans="4:4">
      <c r="D795" s="16"/>
    </row>
    <row r="796" spans="4:4">
      <c r="D796" s="16"/>
    </row>
    <row r="797" spans="4:4">
      <c r="D797" s="16"/>
    </row>
    <row r="798" spans="4:4">
      <c r="D798" s="16"/>
    </row>
    <row r="799" spans="4:4">
      <c r="D799" s="16"/>
    </row>
    <row r="800" spans="4:4">
      <c r="D800" s="16"/>
    </row>
    <row r="801" spans="4:4">
      <c r="D801" s="16"/>
    </row>
    <row r="802" spans="4:4">
      <c r="D802" s="16"/>
    </row>
    <row r="803" spans="4:4">
      <c r="D803" s="16"/>
    </row>
    <row r="804" spans="4:4">
      <c r="D804" s="16"/>
    </row>
    <row r="805" spans="4:4">
      <c r="D805" s="16"/>
    </row>
    <row r="806" spans="4:4">
      <c r="D806" s="16"/>
    </row>
    <row r="807" spans="4:4">
      <c r="D807" s="16"/>
    </row>
    <row r="808" spans="4:4">
      <c r="D808" s="16"/>
    </row>
    <row r="809" spans="4:4">
      <c r="D809" s="16"/>
    </row>
    <row r="810" spans="4:4">
      <c r="D810" s="16"/>
    </row>
    <row r="811" spans="4:4">
      <c r="D811" s="16"/>
    </row>
    <row r="812" spans="4:4">
      <c r="D812" s="16"/>
    </row>
    <row r="813" spans="4:4">
      <c r="D813" s="16"/>
    </row>
    <row r="814" spans="4:4">
      <c r="D814" s="16"/>
    </row>
    <row r="815" spans="4:4">
      <c r="D815" s="16"/>
    </row>
    <row r="816" spans="4:4">
      <c r="D816" s="16"/>
    </row>
    <row r="817" spans="4:4">
      <c r="D817" s="16"/>
    </row>
    <row r="818" spans="4:4">
      <c r="D818" s="16"/>
    </row>
    <row r="819" spans="4:4">
      <c r="D819" s="16"/>
    </row>
    <row r="820" spans="4:4">
      <c r="D820" s="16"/>
    </row>
    <row r="821" spans="4:4">
      <c r="D821" s="16"/>
    </row>
    <row r="822" spans="4:4">
      <c r="D822" s="16"/>
    </row>
    <row r="823" spans="4:4">
      <c r="D823" s="16"/>
    </row>
    <row r="824" spans="4:4">
      <c r="D824" s="16"/>
    </row>
    <row r="825" spans="4:4">
      <c r="D825" s="16"/>
    </row>
    <row r="826" spans="4:4">
      <c r="D826" s="16"/>
    </row>
    <row r="827" spans="4:4">
      <c r="D827" s="16"/>
    </row>
    <row r="828" spans="4:4">
      <c r="D828" s="16"/>
    </row>
    <row r="829" spans="4:4">
      <c r="D829" s="16"/>
    </row>
    <row r="830" spans="4:4">
      <c r="D830" s="16"/>
    </row>
    <row r="831" spans="4:4">
      <c r="D831" s="16"/>
    </row>
    <row r="832" spans="4:4">
      <c r="D832" s="16"/>
    </row>
    <row r="833" spans="4:4">
      <c r="D833" s="16"/>
    </row>
    <row r="834" spans="4:4">
      <c r="D834" s="16"/>
    </row>
    <row r="835" spans="4:4">
      <c r="D835" s="16"/>
    </row>
    <row r="836" spans="4:4">
      <c r="D836" s="16"/>
    </row>
    <row r="837" spans="4:4">
      <c r="D837" s="16"/>
    </row>
    <row r="838" spans="4:4">
      <c r="D838" s="16"/>
    </row>
    <row r="839" spans="4:4">
      <c r="D839" s="16"/>
    </row>
    <row r="840" spans="4:4">
      <c r="D840" s="16"/>
    </row>
    <row r="841" spans="4:4">
      <c r="D841" s="16"/>
    </row>
    <row r="842" spans="4:4">
      <c r="D842" s="16"/>
    </row>
    <row r="843" spans="4:4">
      <c r="D843" s="16"/>
    </row>
    <row r="844" spans="4:4">
      <c r="D844" s="16"/>
    </row>
    <row r="845" spans="4:4">
      <c r="D845" s="16"/>
    </row>
    <row r="846" spans="4:4">
      <c r="D846" s="16"/>
    </row>
    <row r="847" spans="4:4">
      <c r="D847" s="16"/>
    </row>
    <row r="848" spans="4:4">
      <c r="D848" s="16"/>
    </row>
    <row r="849" spans="4:4">
      <c r="D849" s="16"/>
    </row>
    <row r="850" spans="4:4">
      <c r="D850" s="16"/>
    </row>
    <row r="851" spans="4:4">
      <c r="D851" s="16"/>
    </row>
    <row r="852" spans="4:4">
      <c r="D852" s="16"/>
    </row>
    <row r="853" spans="4:4">
      <c r="D853" s="16"/>
    </row>
    <row r="854" spans="4:4">
      <c r="D854" s="16"/>
    </row>
    <row r="855" spans="4:4">
      <c r="D855" s="16"/>
    </row>
    <row r="856" spans="4:4">
      <c r="D856" s="16"/>
    </row>
    <row r="857" spans="4:4">
      <c r="D857" s="16"/>
    </row>
    <row r="858" spans="4:4">
      <c r="D858" s="16"/>
    </row>
    <row r="859" spans="4:4">
      <c r="D859" s="16"/>
    </row>
    <row r="860" spans="4:4">
      <c r="D860" s="16"/>
    </row>
    <row r="861" spans="4:4">
      <c r="D861" s="16"/>
    </row>
    <row r="862" spans="4:4">
      <c r="D862" s="16"/>
    </row>
    <row r="863" spans="4:4">
      <c r="D863" s="16"/>
    </row>
    <row r="864" spans="4:4">
      <c r="D864" s="16"/>
    </row>
    <row r="865" spans="4:4">
      <c r="D865" s="16"/>
    </row>
    <row r="866" spans="4:4">
      <c r="D866" s="16"/>
    </row>
    <row r="867" spans="4:4">
      <c r="D867" s="16"/>
    </row>
    <row r="868" spans="4:4">
      <c r="D868" s="16"/>
    </row>
    <row r="869" spans="4:4">
      <c r="D869" s="16"/>
    </row>
    <row r="870" spans="4:4">
      <c r="D870" s="16"/>
    </row>
    <row r="871" spans="4:4">
      <c r="D871" s="16"/>
    </row>
    <row r="872" spans="4:4">
      <c r="D872" s="16"/>
    </row>
    <row r="873" spans="4:4">
      <c r="D873" s="16"/>
    </row>
    <row r="874" spans="4:4">
      <c r="D874" s="16"/>
    </row>
    <row r="875" spans="4:4">
      <c r="D875" s="16"/>
    </row>
    <row r="876" spans="4:4">
      <c r="D876" s="16"/>
    </row>
    <row r="877" spans="4:4">
      <c r="D877" s="16"/>
    </row>
    <row r="878" spans="4:4">
      <c r="D878" s="16"/>
    </row>
    <row r="879" spans="4:4">
      <c r="D879" s="16"/>
    </row>
    <row r="880" spans="4:4">
      <c r="D880" s="16"/>
    </row>
    <row r="881" spans="4:4">
      <c r="D881" s="16"/>
    </row>
    <row r="882" spans="4:4">
      <c r="D882" s="16"/>
    </row>
    <row r="883" spans="4:4">
      <c r="D883" s="16"/>
    </row>
    <row r="884" spans="4:4">
      <c r="D884" s="16"/>
    </row>
    <row r="885" spans="4:4">
      <c r="D885" s="16"/>
    </row>
    <row r="886" spans="4:4">
      <c r="D886" s="16"/>
    </row>
    <row r="887" spans="4:4">
      <c r="D887" s="16"/>
    </row>
    <row r="888" spans="4:4">
      <c r="D888" s="16"/>
    </row>
    <row r="889" spans="4:4">
      <c r="D889" s="16"/>
    </row>
    <row r="890" spans="4:4">
      <c r="D890" s="16"/>
    </row>
    <row r="891" spans="4:4">
      <c r="D891" s="16"/>
    </row>
    <row r="892" spans="4:4">
      <c r="D892" s="16"/>
    </row>
    <row r="893" spans="4:4">
      <c r="D893" s="16"/>
    </row>
    <row r="894" spans="4:4">
      <c r="D894" s="16"/>
    </row>
    <row r="895" spans="4:4">
      <c r="D895" s="16"/>
    </row>
    <row r="896" spans="4:4">
      <c r="D896" s="16"/>
    </row>
    <row r="897" spans="4:4">
      <c r="D897" s="16"/>
    </row>
    <row r="898" spans="4:4">
      <c r="D898" s="16"/>
    </row>
    <row r="899" spans="4:4">
      <c r="D899" s="16"/>
    </row>
    <row r="900" spans="4:4">
      <c r="D900" s="16"/>
    </row>
    <row r="901" spans="4:4">
      <c r="D901" s="16"/>
    </row>
    <row r="902" spans="4:4">
      <c r="D902" s="16"/>
    </row>
    <row r="903" spans="4:4">
      <c r="D903" s="16"/>
    </row>
    <row r="904" spans="4:4">
      <c r="D904" s="16"/>
    </row>
    <row r="905" spans="4:4">
      <c r="D905" s="16"/>
    </row>
    <row r="906" spans="4:4">
      <c r="D906" s="16"/>
    </row>
    <row r="907" spans="4:4">
      <c r="D907" s="16"/>
    </row>
    <row r="908" spans="4:4">
      <c r="D908" s="16"/>
    </row>
    <row r="909" spans="4:4">
      <c r="D909" s="16"/>
    </row>
    <row r="910" spans="4:4">
      <c r="D910" s="16"/>
    </row>
    <row r="911" spans="4:4">
      <c r="D911" s="16"/>
    </row>
    <row r="912" spans="4:4">
      <c r="D912" s="16"/>
    </row>
    <row r="913" spans="4:4">
      <c r="D913" s="16"/>
    </row>
    <row r="914" spans="4:4">
      <c r="D914" s="16"/>
    </row>
    <row r="915" spans="4:4">
      <c r="D915" s="16"/>
    </row>
    <row r="916" spans="4:4">
      <c r="D916" s="16"/>
    </row>
    <row r="917" spans="4:4">
      <c r="D917" s="16"/>
    </row>
    <row r="918" spans="4:4">
      <c r="D918" s="16"/>
    </row>
    <row r="919" spans="4:4">
      <c r="D919" s="16"/>
    </row>
    <row r="920" spans="4:4">
      <c r="D920" s="16"/>
    </row>
    <row r="921" spans="4:4">
      <c r="D921" s="16"/>
    </row>
    <row r="922" spans="4:4">
      <c r="D922" s="16"/>
    </row>
    <row r="923" spans="4:4">
      <c r="D923" s="16"/>
    </row>
    <row r="924" spans="4:4">
      <c r="D924" s="16"/>
    </row>
    <row r="925" spans="4:4">
      <c r="D925" s="16"/>
    </row>
    <row r="926" spans="4:4">
      <c r="D926" s="16"/>
    </row>
    <row r="927" spans="4:4">
      <c r="D927" s="16"/>
    </row>
    <row r="928" spans="4:4">
      <c r="D928" s="16"/>
    </row>
    <row r="929" spans="4:4">
      <c r="D929" s="16"/>
    </row>
    <row r="930" spans="4:4">
      <c r="D930" s="16"/>
    </row>
    <row r="931" spans="4:4">
      <c r="D931" s="16"/>
    </row>
    <row r="932" spans="4:4">
      <c r="D932" s="16"/>
    </row>
    <row r="933" spans="4:4">
      <c r="D933" s="16"/>
    </row>
    <row r="934" spans="4:4">
      <c r="D934" s="16"/>
    </row>
    <row r="935" spans="4:4">
      <c r="D935" s="16"/>
    </row>
    <row r="936" spans="4:4">
      <c r="D936" s="16"/>
    </row>
    <row r="937" spans="4:4">
      <c r="D937" s="16"/>
    </row>
    <row r="938" spans="4:4">
      <c r="D938" s="16"/>
    </row>
    <row r="939" spans="4:4">
      <c r="D939" s="16"/>
    </row>
    <row r="940" spans="4:4">
      <c r="D940" s="16"/>
    </row>
    <row r="941" spans="4:4">
      <c r="D941" s="16"/>
    </row>
    <row r="942" spans="4:4">
      <c r="D942" s="16"/>
    </row>
    <row r="943" spans="4:4">
      <c r="D943" s="16"/>
    </row>
    <row r="944" spans="4:4">
      <c r="D944" s="16"/>
    </row>
    <row r="945" spans="4:4">
      <c r="D945" s="16"/>
    </row>
    <row r="946" spans="4:4">
      <c r="D946" s="16"/>
    </row>
    <row r="947" spans="4:4">
      <c r="D947" s="16"/>
    </row>
    <row r="948" spans="4:4">
      <c r="D948" s="16"/>
    </row>
    <row r="949" spans="4:4">
      <c r="D949" s="16"/>
    </row>
    <row r="950" spans="4:4">
      <c r="D950" s="16"/>
    </row>
    <row r="951" spans="4:4">
      <c r="D951" s="16"/>
    </row>
    <row r="952" spans="4:4">
      <c r="D952" s="16"/>
    </row>
    <row r="953" spans="4:4">
      <c r="D953" s="16"/>
    </row>
    <row r="954" spans="4:4">
      <c r="D954" s="16"/>
    </row>
    <row r="955" spans="4:4">
      <c r="D955" s="16"/>
    </row>
    <row r="956" spans="4:4">
      <c r="D956" s="16"/>
    </row>
    <row r="957" spans="4:4">
      <c r="D957" s="16"/>
    </row>
    <row r="958" spans="4:4">
      <c r="D958" s="16"/>
    </row>
    <row r="959" spans="4:4">
      <c r="D959" s="16"/>
    </row>
    <row r="960" spans="4:4">
      <c r="D960" s="16"/>
    </row>
    <row r="961" spans="4:4">
      <c r="D961" s="16"/>
    </row>
    <row r="962" spans="4:4">
      <c r="D962" s="16"/>
    </row>
    <row r="963" spans="4:4">
      <c r="D963" s="16"/>
    </row>
    <row r="964" spans="4:4">
      <c r="D964" s="16"/>
    </row>
    <row r="965" spans="4:4">
      <c r="D965" s="16"/>
    </row>
    <row r="966" spans="4:4">
      <c r="D966" s="16"/>
    </row>
    <row r="967" spans="4:4">
      <c r="D967" s="16"/>
    </row>
    <row r="968" spans="4:4">
      <c r="D968" s="16"/>
    </row>
    <row r="969" spans="4:4">
      <c r="D969" s="16"/>
    </row>
    <row r="970" spans="4:4">
      <c r="D970" s="16"/>
    </row>
    <row r="971" spans="4:4">
      <c r="D971" s="16"/>
    </row>
    <row r="972" spans="4:4">
      <c r="D972" s="16"/>
    </row>
    <row r="973" spans="4:4">
      <c r="D973" s="16"/>
    </row>
    <row r="974" spans="4:4">
      <c r="D974" s="16"/>
    </row>
    <row r="975" spans="4:4">
      <c r="D975" s="16"/>
    </row>
    <row r="976" spans="4:4">
      <c r="D976" s="16"/>
    </row>
    <row r="977" spans="4:4">
      <c r="D977" s="16"/>
    </row>
    <row r="978" spans="4:4">
      <c r="D978" s="16"/>
    </row>
    <row r="979" spans="4:4">
      <c r="D979" s="16"/>
    </row>
    <row r="980" spans="4:4">
      <c r="D980" s="16"/>
    </row>
    <row r="981" spans="4:4">
      <c r="D981" s="16"/>
    </row>
    <row r="982" spans="4:4">
      <c r="D982" s="16"/>
    </row>
    <row r="983" spans="4:4">
      <c r="D983" s="16"/>
    </row>
    <row r="984" spans="4:4">
      <c r="D984" s="16"/>
    </row>
    <row r="985" spans="4:4">
      <c r="D985" s="16"/>
    </row>
    <row r="986" spans="4:4">
      <c r="D986" s="16"/>
    </row>
    <row r="987" spans="4:4">
      <c r="D987" s="16"/>
    </row>
    <row r="988" spans="4:4">
      <c r="D988" s="16"/>
    </row>
    <row r="989" spans="4:4">
      <c r="D989" s="16"/>
    </row>
    <row r="990" spans="4:4">
      <c r="D990" s="16"/>
    </row>
    <row r="991" spans="4:4">
      <c r="D991" s="16"/>
    </row>
    <row r="992" spans="4:4">
      <c r="D992" s="16"/>
    </row>
    <row r="993" spans="4:4">
      <c r="D993" s="16"/>
    </row>
    <row r="994" spans="4:4">
      <c r="D994" s="16"/>
    </row>
    <row r="995" spans="4:4">
      <c r="D995" s="16"/>
    </row>
    <row r="996" spans="4:4">
      <c r="D996" s="16"/>
    </row>
    <row r="997" spans="4:4">
      <c r="D997" s="16"/>
    </row>
    <row r="998" spans="4:4">
      <c r="D998" s="16"/>
    </row>
    <row r="999" spans="4:4">
      <c r="D999" s="16"/>
    </row>
    <row r="1000" spans="4:4">
      <c r="D1000" s="16"/>
    </row>
    <row r="1001" spans="4:4">
      <c r="D1001" s="16"/>
    </row>
    <row r="1002" spans="4:4">
      <c r="D1002" s="16"/>
    </row>
    <row r="1003" spans="4:4">
      <c r="D1003" s="16"/>
    </row>
    <row r="1004" spans="4:4">
      <c r="D1004" s="16"/>
    </row>
    <row r="1005" spans="4:4">
      <c r="D1005" s="16"/>
    </row>
    <row r="1006" spans="4:4">
      <c r="D1006" s="16"/>
    </row>
    <row r="1007" spans="4:4">
      <c r="D1007" s="16"/>
    </row>
    <row r="1008" spans="4:4">
      <c r="D1008" s="16"/>
    </row>
    <row r="1009" spans="4:4">
      <c r="D1009" s="16"/>
    </row>
    <row r="1010" spans="4:4">
      <c r="D1010" s="16"/>
    </row>
    <row r="1011" spans="4:4">
      <c r="D1011" s="16"/>
    </row>
    <row r="1012" spans="4:4">
      <c r="D1012" s="16"/>
    </row>
    <row r="1013" spans="4:4">
      <c r="D1013" s="16"/>
    </row>
    <row r="1014" spans="4:4">
      <c r="D1014" s="16"/>
    </row>
    <row r="1015" spans="4:4">
      <c r="D1015" s="16"/>
    </row>
    <row r="1016" spans="4:4">
      <c r="D1016" s="16"/>
    </row>
    <row r="1017" spans="4:4">
      <c r="D1017" s="16"/>
    </row>
    <row r="1018" spans="4:4">
      <c r="D1018" s="16"/>
    </row>
    <row r="1019" spans="4:4">
      <c r="D1019" s="16"/>
    </row>
    <row r="1020" spans="4:4">
      <c r="D1020" s="16"/>
    </row>
    <row r="1021" spans="4:4">
      <c r="D1021" s="16"/>
    </row>
    <row r="1022" spans="4:4">
      <c r="D1022" s="16"/>
    </row>
    <row r="1023" spans="4:4">
      <c r="D1023" s="16"/>
    </row>
    <row r="1024" spans="4:4">
      <c r="D1024" s="16"/>
    </row>
    <row r="1025" spans="4:4">
      <c r="D1025" s="16"/>
    </row>
    <row r="1026" spans="4:4">
      <c r="D1026" s="16"/>
    </row>
    <row r="1027" spans="4:4">
      <c r="D1027" s="16"/>
    </row>
    <row r="1028" spans="4:4">
      <c r="D1028" s="16"/>
    </row>
    <row r="1029" spans="4:4">
      <c r="D1029" s="16"/>
    </row>
    <row r="1030" spans="4:4">
      <c r="D1030" s="16"/>
    </row>
    <row r="1031" spans="4:4">
      <c r="D1031" s="16"/>
    </row>
    <row r="1032" spans="4:4">
      <c r="D1032" s="16"/>
    </row>
    <row r="1033" spans="4:4">
      <c r="D1033" s="16"/>
    </row>
    <row r="1034" spans="4:4">
      <c r="D1034" s="16"/>
    </row>
    <row r="1035" spans="4:4">
      <c r="D1035" s="16"/>
    </row>
    <row r="1036" spans="4:4">
      <c r="D1036" s="16"/>
    </row>
    <row r="1037" spans="4:4">
      <c r="D1037" s="16"/>
    </row>
    <row r="1038" spans="4:4">
      <c r="D1038" s="16"/>
    </row>
    <row r="1039" spans="4:4">
      <c r="D1039" s="16"/>
    </row>
    <row r="1040" spans="4:4">
      <c r="D1040" s="16"/>
    </row>
    <row r="1041" spans="4:4">
      <c r="D1041" s="16"/>
    </row>
    <row r="1042" spans="4:4">
      <c r="D1042" s="16"/>
    </row>
    <row r="1043" spans="4:4">
      <c r="D1043" s="16"/>
    </row>
    <row r="1044" spans="4:4">
      <c r="D1044" s="16"/>
    </row>
    <row r="1045" spans="4:4">
      <c r="D1045" s="16"/>
    </row>
    <row r="1046" spans="4:4">
      <c r="D1046" s="16"/>
    </row>
    <row r="1047" spans="4:4">
      <c r="D1047" s="16"/>
    </row>
    <row r="1048" spans="4:4">
      <c r="D1048" s="16"/>
    </row>
    <row r="1049" spans="4:4">
      <c r="D1049" s="16"/>
    </row>
    <row r="1050" spans="4:4">
      <c r="D1050" s="16"/>
    </row>
    <row r="1051" spans="4:4">
      <c r="D1051" s="16"/>
    </row>
    <row r="1052" spans="4:4">
      <c r="D1052" s="16"/>
    </row>
    <row r="1053" spans="4:4">
      <c r="D1053" s="16"/>
    </row>
    <row r="1054" spans="4:4">
      <c r="D1054" s="16"/>
    </row>
    <row r="1055" spans="4:4">
      <c r="D1055" s="16"/>
    </row>
    <row r="1056" spans="4:4">
      <c r="D1056" s="16"/>
    </row>
    <row r="1057" spans="4:4">
      <c r="D1057" s="16"/>
    </row>
    <row r="1058" spans="4:4">
      <c r="D1058" s="16"/>
    </row>
    <row r="1059" spans="4:4">
      <c r="D1059" s="16"/>
    </row>
    <row r="1060" spans="4:4">
      <c r="D1060" s="16"/>
    </row>
    <row r="1061" spans="4:4">
      <c r="D1061" s="16"/>
    </row>
    <row r="1062" spans="4:4">
      <c r="D1062" s="16"/>
    </row>
    <row r="1063" spans="4:4">
      <c r="D1063" s="16"/>
    </row>
    <row r="1064" spans="4:4">
      <c r="D1064" s="16"/>
    </row>
    <row r="1065" spans="4:4">
      <c r="D1065" s="16"/>
    </row>
    <row r="1066" spans="4:4">
      <c r="D1066" s="16"/>
    </row>
    <row r="1067" spans="4:4">
      <c r="D1067" s="16"/>
    </row>
    <row r="1068" spans="4:4">
      <c r="D1068" s="16"/>
    </row>
    <row r="1069" spans="4:4">
      <c r="D1069" s="16"/>
    </row>
    <row r="1070" spans="4:4">
      <c r="D1070" s="16"/>
    </row>
    <row r="1071" spans="4:4">
      <c r="D1071" s="16"/>
    </row>
    <row r="1072" spans="4:4">
      <c r="D1072" s="16"/>
    </row>
    <row r="1073" spans="4:4">
      <c r="D1073" s="16"/>
    </row>
    <row r="1074" spans="4:4">
      <c r="D1074" s="16"/>
    </row>
    <row r="1075" spans="4:4">
      <c r="D1075" s="16"/>
    </row>
    <row r="1076" spans="4:4">
      <c r="D1076" s="16"/>
    </row>
    <row r="1077" spans="4:4">
      <c r="D1077" s="16"/>
    </row>
    <row r="1078" spans="4:4">
      <c r="D1078" s="16"/>
    </row>
    <row r="1079" spans="4:4">
      <c r="D1079" s="16"/>
    </row>
    <row r="1080" spans="4:4">
      <c r="D1080" s="16"/>
    </row>
    <row r="1081" spans="4:4">
      <c r="D1081" s="16"/>
    </row>
    <row r="1082" spans="4:4">
      <c r="D1082" s="16"/>
    </row>
    <row r="1083" spans="4:4">
      <c r="D1083" s="16"/>
    </row>
    <row r="1084" spans="4:4">
      <c r="D1084" s="16"/>
    </row>
    <row r="1085" spans="4:4">
      <c r="D1085" s="16"/>
    </row>
    <row r="1086" spans="4:4">
      <c r="D1086" s="16"/>
    </row>
    <row r="1087" spans="4:4">
      <c r="D1087" s="16"/>
    </row>
    <row r="1088" spans="4:4">
      <c r="D1088" s="16"/>
    </row>
    <row r="1089" spans="4:4">
      <c r="D1089" s="16"/>
    </row>
    <row r="1090" spans="4:4">
      <c r="D1090" s="16"/>
    </row>
    <row r="1091" spans="4:4">
      <c r="D1091" s="16"/>
    </row>
    <row r="1092" spans="4:4">
      <c r="D1092" s="16"/>
    </row>
    <row r="1093" spans="4:4">
      <c r="D1093" s="16"/>
    </row>
    <row r="1094" spans="4:4">
      <c r="D1094" s="16"/>
    </row>
    <row r="1095" spans="4:4">
      <c r="D1095" s="16"/>
    </row>
    <row r="1096" spans="4:4">
      <c r="D1096" s="16"/>
    </row>
    <row r="1097" spans="4:4">
      <c r="D1097" s="16"/>
    </row>
    <row r="1098" spans="4:4">
      <c r="D1098" s="16"/>
    </row>
    <row r="1099" spans="4:4">
      <c r="D1099" s="16"/>
    </row>
    <row r="1100" spans="4:4">
      <c r="D1100" s="16"/>
    </row>
    <row r="1101" spans="4:4">
      <c r="D1101" s="16"/>
    </row>
    <row r="1102" spans="4:4">
      <c r="D1102" s="16"/>
    </row>
    <row r="1103" spans="4:4">
      <c r="D1103" s="16"/>
    </row>
    <row r="1104" spans="4:4">
      <c r="D1104" s="16"/>
    </row>
    <row r="1105" spans="4:4">
      <c r="D1105" s="16"/>
    </row>
    <row r="1106" spans="4:4">
      <c r="D1106" s="16"/>
    </row>
    <row r="1107" spans="4:4">
      <c r="D1107" s="16"/>
    </row>
    <row r="1108" spans="4:4">
      <c r="D1108" s="16"/>
    </row>
    <row r="1109" spans="4:4">
      <c r="D1109" s="16"/>
    </row>
    <row r="1110" spans="4:4">
      <c r="D1110" s="16"/>
    </row>
    <row r="1111" spans="4:4">
      <c r="D1111" s="16"/>
    </row>
    <row r="1112" spans="4:4">
      <c r="D1112" s="16"/>
    </row>
    <row r="1113" spans="4:4">
      <c r="D1113" s="16"/>
    </row>
    <row r="1114" spans="4:4">
      <c r="D1114" s="16"/>
    </row>
    <row r="1115" spans="4:4">
      <c r="D1115" s="16"/>
    </row>
    <row r="1116" spans="4:4">
      <c r="D1116" s="16"/>
    </row>
    <row r="1117" spans="4:4">
      <c r="D1117" s="16"/>
    </row>
    <row r="1118" spans="4:4">
      <c r="D1118" s="16"/>
    </row>
    <row r="1119" spans="4:4">
      <c r="D1119" s="16"/>
    </row>
    <row r="1120" spans="4:4">
      <c r="D1120" s="16"/>
    </row>
    <row r="1121" spans="4:4">
      <c r="D1121" s="16"/>
    </row>
    <row r="1122" spans="4:4">
      <c r="D1122" s="16"/>
    </row>
    <row r="1123" spans="4:4">
      <c r="D1123" s="16"/>
    </row>
    <row r="1124" spans="4:4">
      <c r="D1124" s="16"/>
    </row>
    <row r="1125" spans="4:4">
      <c r="D1125" s="16"/>
    </row>
    <row r="1126" spans="4:4">
      <c r="D1126" s="16"/>
    </row>
    <row r="1127" spans="4:4">
      <c r="D1127" s="16"/>
    </row>
    <row r="1128" spans="4:4">
      <c r="D1128" s="16"/>
    </row>
    <row r="1129" spans="4:4">
      <c r="D1129" s="16"/>
    </row>
    <row r="1130" spans="4:4">
      <c r="D1130" s="16"/>
    </row>
    <row r="1131" spans="4:4">
      <c r="D1131" s="16"/>
    </row>
    <row r="1132" spans="4:4">
      <c r="D1132" s="16"/>
    </row>
    <row r="1133" spans="4:4">
      <c r="D1133" s="16"/>
    </row>
    <row r="1134" spans="4:4">
      <c r="D1134" s="16"/>
    </row>
    <row r="1135" spans="4:4">
      <c r="D1135" s="16"/>
    </row>
    <row r="1136" spans="4:4">
      <c r="D1136" s="16"/>
    </row>
    <row r="1137" spans="4:4">
      <c r="D1137" s="16"/>
    </row>
    <row r="1138" spans="4:4">
      <c r="D1138" s="16"/>
    </row>
    <row r="1139" spans="4:4">
      <c r="D1139" s="16"/>
    </row>
    <row r="1140" spans="4:4">
      <c r="D1140" s="16"/>
    </row>
    <row r="1141" spans="4:4">
      <c r="D1141" s="16"/>
    </row>
    <row r="1142" spans="4:4">
      <c r="D1142" s="16"/>
    </row>
    <row r="1143" spans="4:4">
      <c r="D1143" s="16"/>
    </row>
    <row r="1144" spans="4:4">
      <c r="D1144" s="16"/>
    </row>
    <row r="1145" spans="4:4">
      <c r="D1145" s="16"/>
    </row>
    <row r="1146" spans="4:4">
      <c r="D1146" s="16"/>
    </row>
    <row r="1147" spans="4:4">
      <c r="D1147" s="16"/>
    </row>
    <row r="1148" spans="4:4">
      <c r="D1148" s="16"/>
    </row>
    <row r="1149" spans="4:4">
      <c r="D1149" s="16"/>
    </row>
    <row r="1150" spans="4:4">
      <c r="D1150" s="16"/>
    </row>
    <row r="1151" spans="4:4">
      <c r="D1151" s="16"/>
    </row>
    <row r="1152" spans="4:4">
      <c r="D1152" s="16"/>
    </row>
    <row r="1153" spans="4:4">
      <c r="D1153" s="16"/>
    </row>
    <row r="1154" spans="4:4">
      <c r="D1154" s="16"/>
    </row>
    <row r="1155" spans="4:4">
      <c r="D1155" s="16"/>
    </row>
    <row r="1156" spans="4:4">
      <c r="D1156" s="16"/>
    </row>
    <row r="1157" spans="4:4">
      <c r="D1157" s="16"/>
    </row>
    <row r="1158" spans="4:4">
      <c r="D1158" s="16"/>
    </row>
    <row r="1159" spans="4:4">
      <c r="D1159" s="16"/>
    </row>
    <row r="1160" spans="4:4">
      <c r="D1160" s="16"/>
    </row>
    <row r="1161" spans="4:4">
      <c r="D1161" s="16"/>
    </row>
    <row r="1162" spans="4:4">
      <c r="D1162" s="16"/>
    </row>
    <row r="1163" spans="4:4">
      <c r="D1163" s="16"/>
    </row>
    <row r="1164" spans="4:4">
      <c r="D1164" s="16"/>
    </row>
    <row r="1165" spans="4:4">
      <c r="D1165" s="16"/>
    </row>
    <row r="1166" spans="4:4">
      <c r="D1166" s="16"/>
    </row>
    <row r="1167" spans="4:4">
      <c r="D1167" s="16"/>
    </row>
    <row r="1168" spans="4:4">
      <c r="D1168" s="16"/>
    </row>
    <row r="1169" spans="4:4">
      <c r="D1169" s="16"/>
    </row>
    <row r="1170" spans="4:4">
      <c r="D1170" s="16"/>
    </row>
    <row r="1171" spans="4:4">
      <c r="D1171" s="16"/>
    </row>
    <row r="1172" spans="4:4">
      <c r="D1172" s="16"/>
    </row>
    <row r="1173" spans="4:4">
      <c r="D1173" s="16"/>
    </row>
    <row r="1174" spans="4:4">
      <c r="D1174" s="16"/>
    </row>
    <row r="1175" spans="4:4">
      <c r="D1175" s="16"/>
    </row>
    <row r="1176" spans="4:4">
      <c r="D1176" s="16"/>
    </row>
    <row r="1177" spans="4:4">
      <c r="D1177" s="16"/>
    </row>
    <row r="1178" spans="4:4">
      <c r="D1178" s="16"/>
    </row>
    <row r="1179" spans="4:4">
      <c r="D1179" s="16"/>
    </row>
    <row r="1180" spans="4:4">
      <c r="D1180" s="16"/>
    </row>
    <row r="1181" spans="4:4">
      <c r="D1181" s="16"/>
    </row>
    <row r="1182" spans="4:4">
      <c r="D1182" s="16"/>
    </row>
    <row r="1183" spans="4:4">
      <c r="D1183" s="16"/>
    </row>
    <row r="1184" spans="4:4">
      <c r="D1184" s="16"/>
    </row>
    <row r="1185" spans="4:4">
      <c r="D1185" s="16"/>
    </row>
    <row r="1186" spans="4:4">
      <c r="D1186" s="16"/>
    </row>
    <row r="1187" spans="4:4">
      <c r="D1187" s="16"/>
    </row>
    <row r="1188" spans="4:4">
      <c r="D1188" s="16"/>
    </row>
    <row r="1189" spans="4:4">
      <c r="D1189" s="16"/>
    </row>
    <row r="1190" spans="4:4">
      <c r="D1190" s="16"/>
    </row>
    <row r="1191" spans="4:4">
      <c r="D1191" s="16"/>
    </row>
    <row r="1192" spans="4:4">
      <c r="D1192" s="16"/>
    </row>
    <row r="1193" spans="4:4">
      <c r="D1193" s="16"/>
    </row>
    <row r="1194" spans="4:4">
      <c r="D1194" s="16"/>
    </row>
    <row r="1195" spans="4:4">
      <c r="D1195" s="16"/>
    </row>
    <row r="1196" spans="4:4">
      <c r="D1196" s="16"/>
    </row>
    <row r="1197" spans="4:4">
      <c r="D1197" s="16"/>
    </row>
    <row r="1198" spans="4:4">
      <c r="D1198" s="16"/>
    </row>
    <row r="1199" spans="4:4">
      <c r="D1199" s="16"/>
    </row>
    <row r="1200" spans="4:4">
      <c r="D1200" s="16"/>
    </row>
    <row r="1201" spans="4:4">
      <c r="D1201" s="16"/>
    </row>
    <row r="1202" spans="4:4">
      <c r="D1202" s="16"/>
    </row>
    <row r="1203" spans="4:4">
      <c r="D1203" s="16"/>
    </row>
    <row r="1204" spans="4:4">
      <c r="D1204" s="16"/>
    </row>
    <row r="1205" spans="4:4">
      <c r="D1205" s="16"/>
    </row>
    <row r="1206" spans="4:4">
      <c r="D1206" s="16"/>
    </row>
    <row r="1207" spans="4:4">
      <c r="D1207" s="16"/>
    </row>
    <row r="1208" spans="4:4">
      <c r="D1208" s="16"/>
    </row>
    <row r="1209" spans="4:4">
      <c r="D1209" s="16"/>
    </row>
    <row r="1210" spans="4:4">
      <c r="D1210" s="16"/>
    </row>
    <row r="1211" spans="4:4">
      <c r="D1211" s="16"/>
    </row>
    <row r="1212" spans="4:4">
      <c r="D1212" s="16"/>
    </row>
    <row r="1213" spans="4:4">
      <c r="D1213" s="16"/>
    </row>
    <row r="1214" spans="4:4">
      <c r="D1214" s="16"/>
    </row>
    <row r="1215" spans="4:4">
      <c r="D1215" s="16"/>
    </row>
    <row r="1216" spans="4:4">
      <c r="D1216" s="16"/>
    </row>
    <row r="1217" spans="4:4">
      <c r="D1217" s="16"/>
    </row>
    <row r="1218" spans="4:4">
      <c r="D1218" s="16"/>
    </row>
    <row r="1219" spans="4:4">
      <c r="D1219" s="16"/>
    </row>
    <row r="1220" spans="4:4">
      <c r="D1220" s="16"/>
    </row>
    <row r="1221" spans="4:4">
      <c r="D1221" s="16"/>
    </row>
    <row r="1222" spans="4:4">
      <c r="D1222" s="16"/>
    </row>
    <row r="1223" spans="4:4">
      <c r="D1223" s="16"/>
    </row>
    <row r="1224" spans="4:4">
      <c r="D1224" s="16"/>
    </row>
    <row r="1225" spans="4:4">
      <c r="D1225" s="16"/>
    </row>
    <row r="1226" spans="4:4">
      <c r="D1226" s="16"/>
    </row>
    <row r="1227" spans="4:4">
      <c r="D1227" s="16"/>
    </row>
    <row r="1228" spans="4:4">
      <c r="D1228" s="16"/>
    </row>
    <row r="1229" spans="4:4">
      <c r="D1229" s="16"/>
    </row>
    <row r="1230" spans="4:4">
      <c r="D1230" s="16"/>
    </row>
    <row r="1231" spans="4:4">
      <c r="D1231" s="16"/>
    </row>
    <row r="1232" spans="4:4">
      <c r="D1232" s="16"/>
    </row>
    <row r="1233" spans="4:4">
      <c r="D1233" s="16"/>
    </row>
    <row r="1234" spans="4:4">
      <c r="D1234" s="16"/>
    </row>
    <row r="1235" spans="4:4">
      <c r="D1235" s="16"/>
    </row>
    <row r="1236" spans="4:4">
      <c r="D1236" s="16"/>
    </row>
    <row r="1237" spans="4:4">
      <c r="D1237" s="16"/>
    </row>
    <row r="1238" spans="4:4">
      <c r="D1238" s="16"/>
    </row>
    <row r="1239" spans="4:4">
      <c r="D1239" s="16"/>
    </row>
    <row r="1240" spans="4:4">
      <c r="D1240" s="16"/>
    </row>
    <row r="1241" spans="4:4">
      <c r="D1241" s="16"/>
    </row>
    <row r="1242" spans="4:4">
      <c r="D1242" s="16"/>
    </row>
    <row r="1243" spans="4:4">
      <c r="D1243" s="16"/>
    </row>
    <row r="1244" spans="4:4">
      <c r="D1244" s="16"/>
    </row>
    <row r="1245" spans="4:4">
      <c r="D1245" s="16"/>
    </row>
    <row r="1246" spans="4:4">
      <c r="D1246" s="16"/>
    </row>
    <row r="1247" spans="4:4">
      <c r="D1247" s="16"/>
    </row>
    <row r="1248" spans="4:4">
      <c r="D1248" s="16"/>
    </row>
    <row r="1249" spans="4:4">
      <c r="D1249" s="16"/>
    </row>
    <row r="1250" spans="4:4">
      <c r="D1250" s="16"/>
    </row>
    <row r="1251" spans="4:4">
      <c r="D1251" s="16"/>
    </row>
    <row r="1252" spans="4:4">
      <c r="D1252" s="16"/>
    </row>
    <row r="1253" spans="4:4">
      <c r="D1253" s="16"/>
    </row>
    <row r="1254" spans="4:4">
      <c r="D1254" s="16"/>
    </row>
    <row r="1255" spans="4:4">
      <c r="D1255" s="16"/>
    </row>
    <row r="1256" spans="4:4">
      <c r="D1256" s="16"/>
    </row>
    <row r="1257" spans="4:4">
      <c r="D1257" s="16"/>
    </row>
    <row r="1258" spans="4:4">
      <c r="D1258" s="16"/>
    </row>
    <row r="1259" spans="4:4">
      <c r="D1259" s="16"/>
    </row>
    <row r="1260" spans="4:4">
      <c r="D1260" s="16"/>
    </row>
    <row r="1261" spans="4:4">
      <c r="D1261" s="16"/>
    </row>
    <row r="1262" spans="4:4">
      <c r="D1262" s="16"/>
    </row>
    <row r="1263" spans="4:4">
      <c r="D1263" s="16"/>
    </row>
    <row r="1264" spans="4:4">
      <c r="D1264" s="16"/>
    </row>
    <row r="1265" spans="4:4">
      <c r="D1265" s="16"/>
    </row>
    <row r="1266" spans="4:4">
      <c r="D1266" s="16"/>
    </row>
    <row r="1267" spans="4:4">
      <c r="D1267" s="16"/>
    </row>
    <row r="1268" spans="4:4">
      <c r="D1268" s="16"/>
    </row>
    <row r="1269" spans="4:4">
      <c r="D1269" s="16"/>
    </row>
    <row r="1270" spans="4:4">
      <c r="D1270" s="16"/>
    </row>
    <row r="1271" spans="4:4">
      <c r="D1271" s="16"/>
    </row>
    <row r="1272" spans="4:4">
      <c r="D1272" s="16"/>
    </row>
    <row r="1273" spans="4:4">
      <c r="D1273" s="16"/>
    </row>
    <row r="1274" spans="4:4">
      <c r="D1274" s="16"/>
    </row>
    <row r="1275" spans="4:4">
      <c r="D1275" s="16"/>
    </row>
    <row r="1276" spans="4:4">
      <c r="D1276" s="16"/>
    </row>
    <row r="1277" spans="4:4">
      <c r="D1277" s="16"/>
    </row>
    <row r="1278" spans="4:4">
      <c r="D1278" s="16"/>
    </row>
    <row r="1279" spans="4:4">
      <c r="D1279" s="16"/>
    </row>
    <row r="1280" spans="4:4">
      <c r="D1280" s="16"/>
    </row>
    <row r="1281" spans="4:4">
      <c r="D1281" s="16"/>
    </row>
    <row r="1282" spans="4:4">
      <c r="D1282" s="16"/>
    </row>
    <row r="1283" spans="4:4">
      <c r="D1283" s="16"/>
    </row>
    <row r="1284" spans="4:4">
      <c r="D1284" s="16"/>
    </row>
    <row r="1285" spans="4:4">
      <c r="D1285" s="16"/>
    </row>
    <row r="1286" spans="4:4">
      <c r="D1286" s="16"/>
    </row>
    <row r="1287" spans="4:4">
      <c r="D1287" s="16"/>
    </row>
    <row r="1288" spans="4:4">
      <c r="D1288" s="16"/>
    </row>
    <row r="1289" spans="4:4">
      <c r="D1289" s="16"/>
    </row>
    <row r="1290" spans="4:4">
      <c r="D1290" s="16"/>
    </row>
    <row r="1291" spans="4:4">
      <c r="D1291" s="16"/>
    </row>
    <row r="1292" spans="4:4">
      <c r="D1292" s="16"/>
    </row>
    <row r="1293" spans="4:4">
      <c r="D1293" s="16"/>
    </row>
    <row r="1294" spans="4:4">
      <c r="D1294" s="16"/>
    </row>
    <row r="1295" spans="4:4">
      <c r="D1295" s="16"/>
    </row>
    <row r="1296" spans="4:4">
      <c r="D1296" s="16"/>
    </row>
    <row r="1297" spans="4:4">
      <c r="D1297" s="16"/>
    </row>
    <row r="1298" spans="4:4">
      <c r="D1298" s="16"/>
    </row>
    <row r="1299" spans="4:4">
      <c r="D1299" s="16"/>
    </row>
    <row r="1300" spans="4:4">
      <c r="D1300" s="16"/>
    </row>
    <row r="1301" spans="4:4">
      <c r="D1301" s="16"/>
    </row>
    <row r="1302" spans="4:4">
      <c r="D1302" s="16"/>
    </row>
    <row r="1303" spans="4:4">
      <c r="D1303" s="16"/>
    </row>
    <row r="1304" spans="4:4">
      <c r="D1304" s="16"/>
    </row>
    <row r="1305" spans="4:4">
      <c r="D1305" s="16"/>
    </row>
    <row r="1306" spans="4:4">
      <c r="D1306" s="16"/>
    </row>
    <row r="1307" spans="4:4">
      <c r="D1307" s="16"/>
    </row>
    <row r="1308" spans="4:4">
      <c r="D1308" s="16"/>
    </row>
    <row r="1309" spans="4:4">
      <c r="D1309" s="16"/>
    </row>
    <row r="1310" spans="4:4">
      <c r="D1310" s="16"/>
    </row>
    <row r="1311" spans="4:4">
      <c r="D1311" s="16"/>
    </row>
    <row r="1312" spans="4:4">
      <c r="D1312" s="16"/>
    </row>
    <row r="1313" spans="4:4">
      <c r="D1313" s="16"/>
    </row>
    <row r="1314" spans="4:4">
      <c r="D1314" s="16"/>
    </row>
    <row r="1315" spans="4:4">
      <c r="D1315" s="16"/>
    </row>
    <row r="1316" spans="4:4">
      <c r="D1316" s="16"/>
    </row>
    <row r="1317" spans="4:4">
      <c r="D1317" s="16"/>
    </row>
    <row r="1318" spans="4:4">
      <c r="D1318" s="16"/>
    </row>
    <row r="1319" spans="4:4">
      <c r="D1319" s="16"/>
    </row>
    <row r="1320" spans="4:4">
      <c r="D1320" s="16"/>
    </row>
    <row r="1321" spans="4:4">
      <c r="D1321" s="16"/>
    </row>
    <row r="1322" spans="4:4">
      <c r="D1322" s="16"/>
    </row>
    <row r="1323" spans="4:4">
      <c r="D1323" s="16"/>
    </row>
    <row r="1324" spans="4:4">
      <c r="D1324" s="16"/>
    </row>
    <row r="1325" spans="4:4">
      <c r="D1325" s="16"/>
    </row>
    <row r="1326" spans="4:4">
      <c r="D1326" s="16"/>
    </row>
    <row r="1327" spans="4:4">
      <c r="D1327" s="16"/>
    </row>
    <row r="1328" spans="4:4">
      <c r="D1328" s="16"/>
    </row>
    <row r="1329" spans="4:4">
      <c r="D1329" s="16"/>
    </row>
    <row r="1330" spans="4:4">
      <c r="D1330" s="16"/>
    </row>
    <row r="1331" spans="4:4">
      <c r="D1331" s="16"/>
    </row>
    <row r="1332" spans="4:4">
      <c r="D1332" s="16"/>
    </row>
    <row r="1333" spans="4:4">
      <c r="D1333" s="16"/>
    </row>
    <row r="1334" spans="4:4">
      <c r="D1334" s="16"/>
    </row>
    <row r="1335" spans="4:4">
      <c r="D1335" s="16"/>
    </row>
    <row r="1336" spans="4:4">
      <c r="D1336" s="16"/>
    </row>
    <row r="1337" spans="4:4">
      <c r="D1337" s="16"/>
    </row>
    <row r="1338" spans="4:4">
      <c r="D1338" s="16"/>
    </row>
    <row r="1339" spans="4:4">
      <c r="D1339" s="16"/>
    </row>
    <row r="1340" spans="4:4">
      <c r="D1340" s="16"/>
    </row>
    <row r="1341" spans="4:4">
      <c r="D1341" s="16"/>
    </row>
    <row r="1342" spans="4:4">
      <c r="D1342" s="16"/>
    </row>
    <row r="1343" spans="4:4">
      <c r="D1343" s="16"/>
    </row>
    <row r="1344" spans="4:4">
      <c r="D1344" s="16"/>
    </row>
    <row r="1345" spans="4:4">
      <c r="D1345" s="16"/>
    </row>
    <row r="1346" spans="4:4">
      <c r="D1346" s="16"/>
    </row>
    <row r="1347" spans="4:4">
      <c r="D1347" s="16"/>
    </row>
    <row r="1348" spans="4:4">
      <c r="D1348" s="16"/>
    </row>
    <row r="1349" spans="4:4">
      <c r="D1349" s="16"/>
    </row>
    <row r="1350" spans="4:4">
      <c r="D1350" s="16"/>
    </row>
    <row r="1351" spans="4:4">
      <c r="D1351" s="16"/>
    </row>
    <row r="1352" spans="4:4">
      <c r="D1352" s="16"/>
    </row>
    <row r="1353" spans="4:4">
      <c r="D1353" s="16"/>
    </row>
    <row r="1354" spans="4:4">
      <c r="D1354" s="16"/>
    </row>
    <row r="1355" spans="4:4">
      <c r="D1355" s="16"/>
    </row>
    <row r="1356" spans="4:4">
      <c r="D1356" s="16"/>
    </row>
    <row r="1357" spans="4:4">
      <c r="D1357" s="16"/>
    </row>
    <row r="1358" spans="4:4">
      <c r="D1358" s="16"/>
    </row>
    <row r="1359" spans="4:4">
      <c r="D1359" s="16"/>
    </row>
    <row r="1360" spans="4:4">
      <c r="D1360" s="16"/>
    </row>
    <row r="1361" spans="4:4">
      <c r="D1361" s="16"/>
    </row>
    <row r="1362" spans="4:4">
      <c r="D1362" s="16"/>
    </row>
    <row r="1363" spans="4:4">
      <c r="D1363" s="16"/>
    </row>
    <row r="1364" spans="4:4">
      <c r="D1364" s="16"/>
    </row>
    <row r="1365" spans="4:4">
      <c r="D1365" s="16"/>
    </row>
    <row r="1366" spans="4:4">
      <c r="D1366" s="16"/>
    </row>
    <row r="1367" spans="4:4">
      <c r="D1367" s="16"/>
    </row>
    <row r="1368" spans="4:4">
      <c r="D1368" s="16"/>
    </row>
    <row r="1369" spans="4:4">
      <c r="D1369" s="16"/>
    </row>
    <row r="1370" spans="4:4">
      <c r="D1370" s="16"/>
    </row>
    <row r="1371" spans="4:4">
      <c r="D1371" s="16"/>
    </row>
    <row r="1372" spans="4:4">
      <c r="D1372" s="16"/>
    </row>
    <row r="1373" spans="4:4">
      <c r="D1373" s="16"/>
    </row>
    <row r="1374" spans="4:4">
      <c r="D1374" s="16"/>
    </row>
    <row r="1375" spans="4:4">
      <c r="D1375" s="16"/>
    </row>
    <row r="1376" spans="4:4">
      <c r="D1376" s="16"/>
    </row>
    <row r="1377" spans="4:4">
      <c r="D1377" s="16"/>
    </row>
    <row r="1378" spans="4:4">
      <c r="D1378" s="16"/>
    </row>
    <row r="1379" spans="4:4">
      <c r="D1379" s="16"/>
    </row>
    <row r="1380" spans="4:4">
      <c r="D1380" s="16"/>
    </row>
    <row r="1381" spans="4:4">
      <c r="D1381" s="16"/>
    </row>
    <row r="1382" spans="4:4">
      <c r="D1382" s="16"/>
    </row>
    <row r="1383" spans="4:4">
      <c r="D1383" s="16"/>
    </row>
    <row r="1384" spans="4:4">
      <c r="D1384" s="16"/>
    </row>
    <row r="1385" spans="4:4">
      <c r="D1385" s="16"/>
    </row>
    <row r="1386" spans="4:4">
      <c r="D1386" s="16"/>
    </row>
    <row r="1387" spans="4:4">
      <c r="D1387" s="16"/>
    </row>
    <row r="1388" spans="4:4">
      <c r="D1388" s="16"/>
    </row>
    <row r="1389" spans="4:4">
      <c r="D1389" s="16"/>
    </row>
    <row r="1390" spans="4:4">
      <c r="D1390" s="16"/>
    </row>
    <row r="1391" spans="4:4">
      <c r="D1391" s="16"/>
    </row>
    <row r="1392" spans="4:4">
      <c r="D1392" s="16"/>
    </row>
    <row r="1393" spans="4:4">
      <c r="D1393" s="16"/>
    </row>
    <row r="1394" spans="4:4">
      <c r="D1394" s="16"/>
    </row>
    <row r="1395" spans="4:4">
      <c r="D1395" s="16"/>
    </row>
    <row r="1396" spans="4:4">
      <c r="D1396" s="16"/>
    </row>
    <row r="1397" spans="4:4">
      <c r="D1397" s="16"/>
    </row>
    <row r="1398" spans="4:4">
      <c r="D1398" s="16"/>
    </row>
    <row r="1399" spans="4:4">
      <c r="D1399" s="16"/>
    </row>
    <row r="1400" spans="4:4">
      <c r="D1400" s="16"/>
    </row>
    <row r="1401" spans="4:4">
      <c r="D1401" s="16"/>
    </row>
    <row r="1402" spans="4:4">
      <c r="D1402" s="16"/>
    </row>
    <row r="1403" spans="4:4">
      <c r="D1403" s="16"/>
    </row>
    <row r="1404" spans="4:4">
      <c r="D1404" s="16"/>
    </row>
    <row r="1405" spans="4:4">
      <c r="D1405" s="16"/>
    </row>
    <row r="1406" spans="4:4">
      <c r="D1406" s="16"/>
    </row>
    <row r="1407" spans="4:4">
      <c r="D1407" s="16"/>
    </row>
    <row r="1408" spans="4:4">
      <c r="D1408" s="16"/>
    </row>
    <row r="1409" spans="4:4">
      <c r="D1409" s="16"/>
    </row>
    <row r="1410" spans="4:4">
      <c r="D1410" s="16"/>
    </row>
    <row r="1411" spans="4:4">
      <c r="D1411" s="16"/>
    </row>
    <row r="1412" spans="4:4">
      <c r="D1412" s="16"/>
    </row>
    <row r="1413" spans="4:4">
      <c r="D1413" s="16"/>
    </row>
    <row r="1414" spans="4:4">
      <c r="D1414" s="16"/>
    </row>
    <row r="1415" spans="4:4">
      <c r="D1415" s="16"/>
    </row>
    <row r="1416" spans="4:4">
      <c r="D1416" s="16"/>
    </row>
    <row r="1417" spans="4:4">
      <c r="D1417" s="16"/>
    </row>
    <row r="1418" spans="4:4">
      <c r="D1418" s="16"/>
    </row>
    <row r="1419" spans="4:4">
      <c r="D1419" s="16"/>
    </row>
    <row r="1420" spans="4:4">
      <c r="D1420" s="16"/>
    </row>
    <row r="1421" spans="4:4">
      <c r="D1421" s="16"/>
    </row>
    <row r="1422" spans="4:4">
      <c r="D1422" s="16"/>
    </row>
    <row r="1423" spans="4:4">
      <c r="D1423" s="16"/>
    </row>
    <row r="1424" spans="4:4">
      <c r="D1424" s="16"/>
    </row>
    <row r="1425" spans="4:4">
      <c r="D1425" s="16"/>
    </row>
    <row r="1426" spans="4:4">
      <c r="D1426" s="16"/>
    </row>
    <row r="1427" spans="4:4">
      <c r="D1427" s="16"/>
    </row>
    <row r="1428" spans="4:4">
      <c r="D1428" s="16"/>
    </row>
    <row r="1429" spans="4:4">
      <c r="D1429" s="16"/>
    </row>
    <row r="1430" spans="4:4">
      <c r="D1430" s="16"/>
    </row>
    <row r="1431" spans="4:4">
      <c r="D1431" s="16"/>
    </row>
    <row r="1432" spans="4:4">
      <c r="D1432" s="16"/>
    </row>
    <row r="1433" spans="4:4">
      <c r="D1433" s="16"/>
    </row>
    <row r="1434" spans="4:4">
      <c r="D1434" s="16"/>
    </row>
    <row r="1435" spans="4:4">
      <c r="D1435" s="16"/>
    </row>
    <row r="1436" spans="4:4">
      <c r="D1436" s="16"/>
    </row>
    <row r="1437" spans="4:4">
      <c r="D1437" s="16"/>
    </row>
    <row r="1438" spans="4:4">
      <c r="D1438" s="16"/>
    </row>
    <row r="1439" spans="4:4">
      <c r="D1439" s="16"/>
    </row>
    <row r="1440" spans="4:4">
      <c r="D1440" s="16"/>
    </row>
    <row r="1441" spans="4:4">
      <c r="D1441" s="16"/>
    </row>
    <row r="1442" spans="4:4">
      <c r="D1442" s="16"/>
    </row>
    <row r="1443" spans="4:4">
      <c r="D1443" s="16"/>
    </row>
    <row r="1444" spans="4:4">
      <c r="D1444" s="16"/>
    </row>
    <row r="1445" spans="4:4">
      <c r="D1445" s="16"/>
    </row>
    <row r="1446" spans="4:4">
      <c r="D1446" s="16"/>
    </row>
    <row r="1447" spans="4:4">
      <c r="D1447" s="16"/>
    </row>
    <row r="1448" spans="4:4">
      <c r="D1448" s="16"/>
    </row>
    <row r="1449" spans="4:4">
      <c r="D1449" s="16"/>
    </row>
    <row r="1450" spans="4:4">
      <c r="D1450" s="16"/>
    </row>
    <row r="1451" spans="4:4">
      <c r="D1451" s="16"/>
    </row>
    <row r="1452" spans="4:4">
      <c r="D1452" s="16"/>
    </row>
    <row r="1453" spans="4:4">
      <c r="D1453" s="16"/>
    </row>
    <row r="1454" spans="4:4">
      <c r="D1454" s="16"/>
    </row>
    <row r="1455" spans="4:4">
      <c r="D1455" s="16"/>
    </row>
    <row r="1456" spans="4:4">
      <c r="D1456" s="16"/>
    </row>
    <row r="1457" spans="4:4">
      <c r="D1457" s="16"/>
    </row>
    <row r="1458" spans="4:4">
      <c r="D1458" s="16"/>
    </row>
    <row r="1459" spans="4:4">
      <c r="D1459" s="16"/>
    </row>
    <row r="1460" spans="4:4">
      <c r="D1460" s="16"/>
    </row>
    <row r="1461" spans="4:4">
      <c r="D1461" s="16"/>
    </row>
    <row r="1462" spans="4:4">
      <c r="D1462" s="16"/>
    </row>
    <row r="1463" spans="4:4">
      <c r="D1463" s="16"/>
    </row>
    <row r="1464" spans="4:4">
      <c r="D1464" s="16"/>
    </row>
    <row r="1465" spans="4:4">
      <c r="D1465" s="16"/>
    </row>
    <row r="1466" spans="4:4">
      <c r="D1466" s="16"/>
    </row>
    <row r="1467" spans="4:4">
      <c r="D1467" s="16"/>
    </row>
    <row r="1468" spans="4:4">
      <c r="D1468" s="16"/>
    </row>
    <row r="1469" spans="4:4">
      <c r="D1469" s="16"/>
    </row>
    <row r="1470" spans="4:4">
      <c r="D1470" s="16"/>
    </row>
    <row r="1471" spans="4:4">
      <c r="D1471" s="16"/>
    </row>
    <row r="1472" spans="4:4">
      <c r="D1472" s="16"/>
    </row>
    <row r="1473" spans="4:4">
      <c r="D1473" s="16"/>
    </row>
    <row r="1474" spans="4:4">
      <c r="D1474" s="16"/>
    </row>
    <row r="1475" spans="4:4">
      <c r="D1475" s="16"/>
    </row>
    <row r="1476" spans="4:4">
      <c r="D1476" s="16"/>
    </row>
    <row r="1477" spans="4:4">
      <c r="D1477" s="16"/>
    </row>
    <row r="1478" spans="4:4">
      <c r="D1478" s="16"/>
    </row>
    <row r="1479" spans="4:4">
      <c r="D1479" s="16"/>
    </row>
    <row r="1480" spans="4:4">
      <c r="D1480" s="16"/>
    </row>
    <row r="1481" spans="4:4">
      <c r="D1481" s="16"/>
    </row>
    <row r="1482" spans="4:4">
      <c r="D1482" s="16"/>
    </row>
    <row r="1483" spans="4:4">
      <c r="D1483" s="16"/>
    </row>
    <row r="1484" spans="4:4">
      <c r="D1484" s="16"/>
    </row>
    <row r="1485" spans="4:4">
      <c r="D1485" s="16"/>
    </row>
    <row r="1486" spans="4:4">
      <c r="D1486" s="16"/>
    </row>
    <row r="1487" spans="4:4">
      <c r="D1487" s="16"/>
    </row>
    <row r="1488" spans="4:4">
      <c r="D1488" s="16"/>
    </row>
    <row r="1489" spans="4:4">
      <c r="D1489" s="16"/>
    </row>
    <row r="1490" spans="4:4">
      <c r="D1490" s="16"/>
    </row>
    <row r="1491" spans="4:4">
      <c r="D1491" s="16"/>
    </row>
    <row r="1492" spans="4:4">
      <c r="D1492" s="16"/>
    </row>
    <row r="1493" spans="4:4">
      <c r="D1493" s="16"/>
    </row>
    <row r="1494" spans="4:4">
      <c r="D1494" s="16"/>
    </row>
    <row r="1495" spans="4:4">
      <c r="D1495" s="16"/>
    </row>
    <row r="1496" spans="4:4">
      <c r="D1496" s="16"/>
    </row>
    <row r="1497" spans="4:4">
      <c r="D1497" s="16"/>
    </row>
    <row r="1498" spans="4:4">
      <c r="D1498" s="16"/>
    </row>
    <row r="1499" spans="4:4">
      <c r="D1499" s="16"/>
    </row>
    <row r="1500" spans="4:4">
      <c r="D1500" s="16"/>
    </row>
    <row r="1501" spans="4:4">
      <c r="D1501" s="16"/>
    </row>
    <row r="1502" spans="4:4">
      <c r="D1502" s="16"/>
    </row>
    <row r="1503" spans="4:4">
      <c r="D1503" s="16"/>
    </row>
    <row r="1504" spans="4:4">
      <c r="D1504" s="16"/>
    </row>
    <row r="1505" spans="4:4">
      <c r="D1505" s="16"/>
    </row>
    <row r="1506" spans="4:4">
      <c r="D1506" s="16"/>
    </row>
    <row r="1507" spans="4:4">
      <c r="D1507" s="16"/>
    </row>
    <row r="1508" spans="4:4">
      <c r="D1508" s="16"/>
    </row>
    <row r="1509" spans="4:4">
      <c r="D1509" s="16"/>
    </row>
    <row r="1510" spans="4:4">
      <c r="D1510" s="16"/>
    </row>
    <row r="1511" spans="4:4">
      <c r="D1511" s="16"/>
    </row>
    <row r="1512" spans="4:4">
      <c r="D1512" s="16"/>
    </row>
    <row r="1513" spans="4:4">
      <c r="D1513" s="16"/>
    </row>
    <row r="1514" spans="4:4">
      <c r="D1514" s="16"/>
    </row>
    <row r="1515" spans="4:4">
      <c r="D1515" s="16"/>
    </row>
    <row r="1516" spans="4:4">
      <c r="D1516" s="16"/>
    </row>
    <row r="1517" spans="4:4">
      <c r="D1517" s="16"/>
    </row>
    <row r="1518" spans="4:4">
      <c r="D1518" s="16"/>
    </row>
    <row r="1519" spans="4:4">
      <c r="D1519" s="16"/>
    </row>
    <row r="1520" spans="4:4">
      <c r="D1520" s="16"/>
    </row>
    <row r="1521" spans="4:4">
      <c r="D1521" s="16"/>
    </row>
    <row r="1522" spans="4:4">
      <c r="D1522" s="16"/>
    </row>
    <row r="1523" spans="4:4">
      <c r="D1523" s="16"/>
    </row>
    <row r="1524" spans="4:4">
      <c r="D1524" s="16"/>
    </row>
    <row r="1525" spans="4:4">
      <c r="D1525" s="16"/>
    </row>
    <row r="1526" spans="4:4">
      <c r="D1526" s="16"/>
    </row>
    <row r="1527" spans="4:4">
      <c r="D1527" s="16"/>
    </row>
    <row r="1528" spans="4:4">
      <c r="D1528" s="16"/>
    </row>
    <row r="1529" spans="4:4">
      <c r="D1529" s="16"/>
    </row>
    <row r="1530" spans="4:4">
      <c r="D1530" s="16"/>
    </row>
    <row r="1531" spans="4:4">
      <c r="D1531" s="16"/>
    </row>
    <row r="1532" spans="4:4">
      <c r="D1532" s="16"/>
    </row>
    <row r="1533" spans="4:4">
      <c r="D1533" s="16"/>
    </row>
    <row r="1534" spans="4:4">
      <c r="D1534" s="16"/>
    </row>
    <row r="1535" spans="4:4">
      <c r="D1535" s="16"/>
    </row>
    <row r="1536" spans="4:4">
      <c r="D1536" s="16"/>
    </row>
    <row r="1537" spans="4:4">
      <c r="D1537" s="16"/>
    </row>
    <row r="1538" spans="4:4">
      <c r="D1538" s="16"/>
    </row>
    <row r="1539" spans="4:4">
      <c r="D1539" s="16"/>
    </row>
    <row r="1540" spans="4:4">
      <c r="D1540" s="16"/>
    </row>
    <row r="1541" spans="4:4">
      <c r="D1541" s="16"/>
    </row>
    <row r="1542" spans="4:4">
      <c r="D1542" s="16"/>
    </row>
    <row r="1543" spans="4:4">
      <c r="D1543" s="16"/>
    </row>
    <row r="1544" spans="4:4">
      <c r="D1544" s="16"/>
    </row>
    <row r="1545" spans="4:4">
      <c r="D1545" s="16"/>
    </row>
    <row r="1546" spans="4:4">
      <c r="D1546" s="16"/>
    </row>
    <row r="1547" spans="4:4">
      <c r="D1547" s="16"/>
    </row>
    <row r="1548" spans="4:4">
      <c r="D1548" s="16"/>
    </row>
    <row r="1549" spans="4:4">
      <c r="D1549" s="16"/>
    </row>
    <row r="1550" spans="4:4">
      <c r="D1550" s="16"/>
    </row>
    <row r="1551" spans="4:4">
      <c r="D1551" s="16"/>
    </row>
    <row r="1552" spans="4:4">
      <c r="D1552" s="16"/>
    </row>
    <row r="1553" spans="4:4">
      <c r="D1553" s="16"/>
    </row>
    <row r="1554" spans="4:4">
      <c r="D1554" s="16"/>
    </row>
    <row r="1555" spans="4:4">
      <c r="D1555" s="16"/>
    </row>
    <row r="1556" spans="4:4">
      <c r="D1556" s="16"/>
    </row>
    <row r="1557" spans="4:4">
      <c r="D1557" s="16"/>
    </row>
    <row r="1558" spans="4:4">
      <c r="D1558" s="16"/>
    </row>
    <row r="1559" spans="4:4">
      <c r="D1559" s="16"/>
    </row>
    <row r="1560" spans="4:4">
      <c r="D1560" s="16"/>
    </row>
    <row r="1561" spans="4:4">
      <c r="D1561" s="16"/>
    </row>
    <row r="1562" spans="4:4">
      <c r="D1562" s="16"/>
    </row>
    <row r="1563" spans="4:4">
      <c r="D1563" s="16"/>
    </row>
    <row r="1564" spans="4:4">
      <c r="D1564" s="16"/>
    </row>
    <row r="1565" spans="4:4">
      <c r="D1565" s="16"/>
    </row>
    <row r="1566" spans="4:4">
      <c r="D1566" s="16"/>
    </row>
    <row r="1567" spans="4:4">
      <c r="D1567" s="16"/>
    </row>
    <row r="1568" spans="4:4">
      <c r="D1568" s="16"/>
    </row>
    <row r="1569" spans="4:4">
      <c r="D1569" s="16"/>
    </row>
    <row r="1570" spans="4:4">
      <c r="D1570" s="16"/>
    </row>
    <row r="1571" spans="4:4">
      <c r="D1571" s="16"/>
    </row>
    <row r="1572" spans="4:4">
      <c r="D1572" s="16"/>
    </row>
    <row r="1573" spans="4:4">
      <c r="D1573" s="16"/>
    </row>
    <row r="1574" spans="4:4">
      <c r="D1574" s="16"/>
    </row>
    <row r="1575" spans="4:4">
      <c r="D1575" s="16"/>
    </row>
    <row r="1576" spans="4:4">
      <c r="D1576" s="16"/>
    </row>
    <row r="1577" spans="4:4">
      <c r="D1577" s="16"/>
    </row>
    <row r="1578" spans="4:4">
      <c r="D1578" s="16"/>
    </row>
    <row r="1579" spans="4:4">
      <c r="D1579" s="16"/>
    </row>
    <row r="1580" spans="4:4">
      <c r="D1580" s="16"/>
    </row>
    <row r="1581" spans="4:4">
      <c r="D1581" s="16"/>
    </row>
    <row r="1582" spans="4:4">
      <c r="D1582" s="16"/>
    </row>
    <row r="1583" spans="4:4">
      <c r="D1583" s="16"/>
    </row>
    <row r="1584" spans="4:4">
      <c r="D1584" s="16"/>
    </row>
    <row r="1585" spans="4:4">
      <c r="D1585" s="16"/>
    </row>
    <row r="1586" spans="4:4">
      <c r="D1586" s="16"/>
    </row>
    <row r="1587" spans="4:4">
      <c r="D1587" s="16"/>
    </row>
    <row r="1588" spans="4:4">
      <c r="D1588" s="16"/>
    </row>
    <row r="1589" spans="4:4">
      <c r="D1589" s="16"/>
    </row>
    <row r="1590" spans="4:4">
      <c r="D1590" s="16"/>
    </row>
    <row r="1591" spans="4:4">
      <c r="D1591" s="16"/>
    </row>
    <row r="1592" spans="4:4">
      <c r="D1592" s="16"/>
    </row>
    <row r="1593" spans="4:4">
      <c r="D1593" s="16"/>
    </row>
    <row r="1594" spans="4:4">
      <c r="D1594" s="16"/>
    </row>
    <row r="1595" spans="4:4">
      <c r="D1595" s="16"/>
    </row>
    <row r="1596" spans="4:4">
      <c r="D1596" s="16"/>
    </row>
    <row r="1597" spans="4:4">
      <c r="D1597" s="16"/>
    </row>
    <row r="1598" spans="4:4">
      <c r="D1598" s="16"/>
    </row>
    <row r="1599" spans="4:4">
      <c r="D1599" s="16"/>
    </row>
    <row r="1600" spans="4:4">
      <c r="D1600" s="16"/>
    </row>
    <row r="1601" spans="4:4">
      <c r="D1601" s="16"/>
    </row>
    <row r="1602" spans="4:4">
      <c r="D1602" s="16"/>
    </row>
    <row r="1603" spans="4:4">
      <c r="D1603" s="16"/>
    </row>
    <row r="1604" spans="4:4">
      <c r="D1604" s="16"/>
    </row>
    <row r="1605" spans="4:4">
      <c r="D1605" s="16"/>
    </row>
    <row r="1606" spans="4:4">
      <c r="D1606" s="16"/>
    </row>
    <row r="1607" spans="4:4">
      <c r="D1607" s="16"/>
    </row>
    <row r="1608" spans="4:4">
      <c r="D1608" s="16"/>
    </row>
    <row r="1609" spans="4:4">
      <c r="D1609" s="16"/>
    </row>
    <row r="1610" spans="4:4">
      <c r="D1610" s="16"/>
    </row>
    <row r="1611" spans="4:4">
      <c r="D1611" s="16"/>
    </row>
    <row r="1612" spans="4:4">
      <c r="D1612" s="16"/>
    </row>
    <row r="1613" spans="4:4">
      <c r="D1613" s="16"/>
    </row>
    <row r="1614" spans="4:4">
      <c r="D1614" s="16"/>
    </row>
    <row r="1615" spans="4:4">
      <c r="D1615" s="16"/>
    </row>
    <row r="1616" spans="4:4">
      <c r="D1616" s="16"/>
    </row>
    <row r="1617" spans="4:4">
      <c r="D1617" s="16"/>
    </row>
    <row r="1618" spans="4:4">
      <c r="D1618" s="16"/>
    </row>
    <row r="1619" spans="4:4">
      <c r="D1619" s="16"/>
    </row>
    <row r="1620" spans="4:4">
      <c r="D1620" s="16"/>
    </row>
    <row r="1621" spans="4:4">
      <c r="D1621" s="16"/>
    </row>
    <row r="1622" spans="4:4">
      <c r="D1622" s="16"/>
    </row>
    <row r="1623" spans="4:4">
      <c r="D1623" s="16"/>
    </row>
    <row r="1624" spans="4:4">
      <c r="D1624" s="16"/>
    </row>
    <row r="1625" spans="4:4">
      <c r="D1625" s="16"/>
    </row>
    <row r="1626" spans="4:4">
      <c r="D1626" s="16"/>
    </row>
    <row r="1627" spans="4:4">
      <c r="D1627" s="16"/>
    </row>
    <row r="1628" spans="4:4">
      <c r="D1628" s="16"/>
    </row>
    <row r="1629" spans="4:4">
      <c r="D1629" s="16"/>
    </row>
    <row r="1630" spans="4:4">
      <c r="D1630" s="16"/>
    </row>
    <row r="1631" spans="4:4">
      <c r="D1631" s="16"/>
    </row>
    <row r="1632" spans="4:4">
      <c r="D1632" s="16"/>
    </row>
    <row r="1633" spans="4:4">
      <c r="D1633" s="16"/>
    </row>
    <row r="1634" spans="4:4">
      <c r="D1634" s="16"/>
    </row>
    <row r="1635" spans="4:4">
      <c r="D1635" s="16"/>
    </row>
    <row r="1636" spans="4:4">
      <c r="D1636" s="16"/>
    </row>
    <row r="1637" spans="4:4">
      <c r="D1637" s="16"/>
    </row>
    <row r="1638" spans="4:4">
      <c r="D1638" s="16"/>
    </row>
    <row r="1639" spans="4:4">
      <c r="D1639" s="16"/>
    </row>
    <row r="1640" spans="4:4">
      <c r="D1640" s="16"/>
    </row>
    <row r="1641" spans="4:4">
      <c r="D1641" s="16"/>
    </row>
    <row r="1642" spans="4:4">
      <c r="D1642" s="16"/>
    </row>
    <row r="1643" spans="4:4">
      <c r="D1643" s="16"/>
    </row>
    <row r="1644" spans="4:4">
      <c r="D1644" s="16"/>
    </row>
    <row r="1645" spans="4:4">
      <c r="D1645" s="16"/>
    </row>
    <row r="1646" spans="4:4">
      <c r="D1646" s="16"/>
    </row>
    <row r="1647" spans="4:4">
      <c r="D1647" s="16"/>
    </row>
    <row r="1648" spans="4:4">
      <c r="D1648" s="16"/>
    </row>
    <row r="1649" spans="4:4">
      <c r="D1649" s="16"/>
    </row>
    <row r="1650" spans="4:4">
      <c r="D1650" s="16"/>
    </row>
    <row r="1651" spans="4:4">
      <c r="D1651" s="16"/>
    </row>
    <row r="1652" spans="4:4">
      <c r="D1652" s="16"/>
    </row>
    <row r="1653" spans="4:4">
      <c r="D1653" s="16"/>
    </row>
    <row r="1654" spans="4:4">
      <c r="D1654" s="16"/>
    </row>
    <row r="1655" spans="4:4">
      <c r="D1655" s="16"/>
    </row>
    <row r="1656" spans="4:4">
      <c r="D1656" s="16"/>
    </row>
    <row r="1657" spans="4:4">
      <c r="D1657" s="16"/>
    </row>
    <row r="1658" spans="4:4">
      <c r="D1658" s="16"/>
    </row>
    <row r="1659" spans="4:4">
      <c r="D1659" s="16"/>
    </row>
    <row r="1660" spans="4:4">
      <c r="D1660" s="16"/>
    </row>
    <row r="1661" spans="4:4">
      <c r="D1661" s="16"/>
    </row>
    <row r="1662" spans="4:4">
      <c r="D1662" s="16"/>
    </row>
    <row r="1663" spans="4:4">
      <c r="D1663" s="16"/>
    </row>
    <row r="1664" spans="4:4">
      <c r="D1664" s="16"/>
    </row>
    <row r="1665" spans="4:4">
      <c r="D1665" s="16"/>
    </row>
    <row r="1666" spans="4:4">
      <c r="D1666" s="16"/>
    </row>
    <row r="1667" spans="4:4">
      <c r="D1667" s="16"/>
    </row>
    <row r="1668" spans="4:4">
      <c r="D1668" s="16"/>
    </row>
    <row r="1669" spans="4:4">
      <c r="D1669" s="16"/>
    </row>
    <row r="1670" spans="4:4">
      <c r="D1670" s="16"/>
    </row>
    <row r="1671" spans="4:4">
      <c r="D1671" s="16"/>
    </row>
    <row r="1672" spans="4:4">
      <c r="D1672" s="16"/>
    </row>
    <row r="1673" spans="4:4">
      <c r="D1673" s="16"/>
    </row>
    <row r="1674" spans="4:4">
      <c r="D1674" s="16"/>
    </row>
    <row r="1675" spans="4:4">
      <c r="D1675" s="16"/>
    </row>
    <row r="1676" spans="4:4">
      <c r="D1676" s="16"/>
    </row>
    <row r="1677" spans="4:4">
      <c r="D1677" s="16"/>
    </row>
    <row r="1678" spans="4:4">
      <c r="D1678" s="16"/>
    </row>
    <row r="1679" spans="4:4">
      <c r="D1679" s="16"/>
    </row>
    <row r="1680" spans="4:4">
      <c r="D1680" s="16"/>
    </row>
    <row r="1681" spans="4:4">
      <c r="D1681" s="16"/>
    </row>
    <row r="1682" spans="4:4">
      <c r="D1682" s="16"/>
    </row>
    <row r="1683" spans="4:4">
      <c r="D1683" s="16"/>
    </row>
    <row r="1684" spans="4:4">
      <c r="D1684" s="16"/>
    </row>
    <row r="1685" spans="4:4">
      <c r="D1685" s="16"/>
    </row>
    <row r="1686" spans="4:4">
      <c r="D1686" s="16"/>
    </row>
    <row r="1687" spans="4:4">
      <c r="D1687" s="16"/>
    </row>
    <row r="1688" spans="4:4">
      <c r="D1688" s="16"/>
    </row>
    <row r="1689" spans="4:4">
      <c r="D1689" s="16"/>
    </row>
    <row r="1690" spans="4:4">
      <c r="D1690" s="16"/>
    </row>
    <row r="1691" spans="4:4">
      <c r="D1691" s="16"/>
    </row>
    <row r="1692" spans="4:4">
      <c r="D1692" s="16"/>
    </row>
    <row r="1693" spans="4:4">
      <c r="D1693" s="16"/>
    </row>
    <row r="1694" spans="4:4">
      <c r="D1694" s="16"/>
    </row>
    <row r="1695" spans="4:4">
      <c r="D1695" s="16"/>
    </row>
    <row r="1696" spans="4:4">
      <c r="D1696" s="16"/>
    </row>
    <row r="1697" spans="4:4">
      <c r="D1697" s="16"/>
    </row>
    <row r="1698" spans="4:4">
      <c r="D1698" s="16"/>
    </row>
    <row r="1699" spans="4:4">
      <c r="D1699" s="16"/>
    </row>
    <row r="1700" spans="4:4">
      <c r="D1700" s="16"/>
    </row>
    <row r="1701" spans="4:4">
      <c r="D1701" s="16"/>
    </row>
    <row r="1702" spans="4:4">
      <c r="D1702" s="16"/>
    </row>
    <row r="1703" spans="4:4">
      <c r="D1703" s="16"/>
    </row>
    <row r="1704" spans="4:4">
      <c r="D1704" s="16"/>
    </row>
    <row r="1705" spans="4:4">
      <c r="D1705" s="16"/>
    </row>
    <row r="1706" spans="4:4">
      <c r="D1706" s="16"/>
    </row>
    <row r="1707" spans="4:4">
      <c r="D1707" s="16"/>
    </row>
    <row r="1708" spans="4:4">
      <c r="D1708" s="16"/>
    </row>
    <row r="1709" spans="4:4">
      <c r="D1709" s="16"/>
    </row>
    <row r="1710" spans="4:4">
      <c r="D1710" s="16"/>
    </row>
    <row r="1711" spans="4:4">
      <c r="D1711" s="16"/>
    </row>
    <row r="1712" spans="4:4">
      <c r="D1712" s="16"/>
    </row>
    <row r="1713" spans="4:4">
      <c r="D1713" s="16"/>
    </row>
    <row r="1714" spans="4:4">
      <c r="D1714" s="16"/>
    </row>
    <row r="1715" spans="4:4">
      <c r="D1715" s="16"/>
    </row>
    <row r="1716" spans="4:4">
      <c r="D1716" s="16"/>
    </row>
    <row r="1717" spans="4:4">
      <c r="D1717" s="16"/>
    </row>
    <row r="1718" spans="4:4">
      <c r="D1718" s="16"/>
    </row>
    <row r="1719" spans="4:4">
      <c r="D1719" s="16"/>
    </row>
    <row r="1720" spans="4:4">
      <c r="D1720" s="16"/>
    </row>
    <row r="1721" spans="4:4">
      <c r="D1721" s="16"/>
    </row>
    <row r="1722" spans="4:4">
      <c r="D1722" s="16"/>
    </row>
    <row r="1723" spans="4:4">
      <c r="D1723" s="16"/>
    </row>
    <row r="1724" spans="4:4">
      <c r="D1724" s="16"/>
    </row>
    <row r="1725" spans="4:4">
      <c r="D1725" s="16"/>
    </row>
    <row r="1726" spans="4:4">
      <c r="D1726" s="16"/>
    </row>
    <row r="1727" spans="4:4">
      <c r="D1727" s="16"/>
    </row>
    <row r="1728" spans="4:4">
      <c r="D1728" s="16"/>
    </row>
    <row r="1729" spans="4:4">
      <c r="D1729" s="16"/>
    </row>
    <row r="1730" spans="4:4">
      <c r="D1730" s="16"/>
    </row>
    <row r="1731" spans="4:4">
      <c r="D1731" s="16"/>
    </row>
    <row r="1732" spans="4:4">
      <c r="D1732" s="16"/>
    </row>
    <row r="1733" spans="4:4">
      <c r="D1733" s="16"/>
    </row>
    <row r="1734" spans="4:4">
      <c r="D1734" s="16"/>
    </row>
    <row r="1735" spans="4:4">
      <c r="D1735" s="16"/>
    </row>
    <row r="1736" spans="4:4">
      <c r="D1736" s="16"/>
    </row>
    <row r="1737" spans="4:4">
      <c r="D1737" s="16"/>
    </row>
    <row r="1738" spans="4:4">
      <c r="D1738" s="16"/>
    </row>
    <row r="1739" spans="4:4">
      <c r="D1739" s="16"/>
    </row>
    <row r="1740" spans="4:4">
      <c r="D1740" s="16"/>
    </row>
    <row r="1741" spans="4:4">
      <c r="D1741" s="16"/>
    </row>
    <row r="1742" spans="4:4">
      <c r="D1742" s="16"/>
    </row>
    <row r="1743" spans="4:4">
      <c r="D1743" s="16"/>
    </row>
    <row r="1744" spans="4:4">
      <c r="D1744" s="16"/>
    </row>
    <row r="1745" spans="4:4">
      <c r="D1745" s="16"/>
    </row>
    <row r="1746" spans="4:4">
      <c r="D1746" s="16"/>
    </row>
    <row r="1747" spans="4:4">
      <c r="D1747" s="16"/>
    </row>
    <row r="1748" spans="4:4">
      <c r="D1748" s="16"/>
    </row>
    <row r="1749" spans="4:4">
      <c r="D1749" s="16"/>
    </row>
    <row r="1750" spans="4:4">
      <c r="D1750" s="16"/>
    </row>
    <row r="1751" spans="4:4">
      <c r="D1751" s="16"/>
    </row>
    <row r="1752" spans="4:4">
      <c r="D1752" s="16"/>
    </row>
    <row r="1753" spans="4:4">
      <c r="D1753" s="16"/>
    </row>
    <row r="1754" spans="4:4">
      <c r="D1754" s="16"/>
    </row>
    <row r="1755" spans="4:4">
      <c r="D1755" s="16"/>
    </row>
    <row r="1756" spans="4:4">
      <c r="D1756" s="16"/>
    </row>
    <row r="1757" spans="4:4">
      <c r="D1757" s="16"/>
    </row>
    <row r="1758" spans="4:4">
      <c r="D1758" s="16"/>
    </row>
    <row r="1759" spans="4:4">
      <c r="D1759" s="16"/>
    </row>
    <row r="1760" spans="4:4">
      <c r="D1760" s="16"/>
    </row>
    <row r="1761" spans="4:4">
      <c r="D1761" s="16"/>
    </row>
    <row r="1762" spans="4:4">
      <c r="D1762" s="16"/>
    </row>
    <row r="1763" spans="4:4">
      <c r="D1763" s="16"/>
    </row>
    <row r="1764" spans="4:4">
      <c r="D1764" s="16"/>
    </row>
    <row r="1765" spans="4:4">
      <c r="D1765" s="16"/>
    </row>
    <row r="1766" spans="4:4">
      <c r="D1766" s="16"/>
    </row>
    <row r="1767" spans="4:4">
      <c r="D1767" s="16"/>
    </row>
    <row r="1768" spans="4:4">
      <c r="D1768" s="16"/>
    </row>
    <row r="1769" spans="4:4">
      <c r="D1769" s="16"/>
    </row>
    <row r="1770" spans="4:4">
      <c r="D1770" s="16"/>
    </row>
    <row r="1771" spans="4:4">
      <c r="D1771" s="16"/>
    </row>
    <row r="1772" spans="4:4">
      <c r="D1772" s="16"/>
    </row>
    <row r="1773" spans="4:4">
      <c r="D1773" s="16"/>
    </row>
    <row r="1774" spans="4:4">
      <c r="D1774" s="16"/>
    </row>
    <row r="1775" spans="4:4">
      <c r="D1775" s="16"/>
    </row>
    <row r="1776" spans="4:4">
      <c r="D1776" s="16"/>
    </row>
    <row r="1777" spans="4:4">
      <c r="D1777" s="16"/>
    </row>
    <row r="1778" spans="4:4">
      <c r="D1778" s="16"/>
    </row>
    <row r="1779" spans="4:4">
      <c r="D1779" s="16"/>
    </row>
    <row r="1780" spans="4:4">
      <c r="D1780" s="16"/>
    </row>
    <row r="1781" spans="4:4">
      <c r="D1781" s="16"/>
    </row>
    <row r="1782" spans="4:4">
      <c r="D1782" s="16"/>
    </row>
    <row r="1783" spans="4:4">
      <c r="D1783" s="16"/>
    </row>
    <row r="1784" spans="4:4">
      <c r="D1784" s="16"/>
    </row>
    <row r="1785" spans="4:4">
      <c r="D1785" s="16"/>
    </row>
    <row r="1786" spans="4:4">
      <c r="D1786" s="16"/>
    </row>
    <row r="1787" spans="4:4">
      <c r="D1787" s="16"/>
    </row>
    <row r="1788" spans="4:4">
      <c r="D1788" s="16"/>
    </row>
    <row r="1789" spans="4:4">
      <c r="D1789" s="16"/>
    </row>
    <row r="1790" spans="4:4">
      <c r="D1790" s="16"/>
    </row>
    <row r="1791" spans="4:4">
      <c r="D1791" s="16"/>
    </row>
    <row r="1792" spans="4:4">
      <c r="D1792" s="16"/>
    </row>
    <row r="1793" spans="4:4">
      <c r="D1793" s="16"/>
    </row>
    <row r="1794" spans="4:4">
      <c r="D1794" s="16"/>
    </row>
    <row r="1795" spans="4:4">
      <c r="D1795" s="16"/>
    </row>
    <row r="1796" spans="4:4">
      <c r="D1796" s="16"/>
    </row>
    <row r="1797" spans="4:4">
      <c r="D1797" s="16"/>
    </row>
    <row r="1798" spans="4:4">
      <c r="D1798" s="16"/>
    </row>
    <row r="1799" spans="4:4">
      <c r="D1799" s="16"/>
    </row>
    <row r="1800" spans="4:4">
      <c r="D1800" s="16"/>
    </row>
    <row r="1801" spans="4:4">
      <c r="D1801" s="16"/>
    </row>
    <row r="1802" spans="4:4">
      <c r="D1802" s="16"/>
    </row>
    <row r="1803" spans="4:4">
      <c r="D1803" s="16"/>
    </row>
    <row r="1804" spans="4:4">
      <c r="D1804" s="16"/>
    </row>
    <row r="1805" spans="4:4">
      <c r="D1805" s="16"/>
    </row>
    <row r="1806" spans="4:4">
      <c r="D1806" s="16"/>
    </row>
    <row r="1807" spans="4:4">
      <c r="D1807" s="16"/>
    </row>
    <row r="1808" spans="4:4">
      <c r="D1808" s="16"/>
    </row>
    <row r="1809" spans="4:4">
      <c r="D1809" s="16"/>
    </row>
    <row r="1810" spans="4:4">
      <c r="D1810" s="16"/>
    </row>
    <row r="1811" spans="4:4">
      <c r="D1811" s="16"/>
    </row>
    <row r="1812" spans="4:4">
      <c r="D1812" s="16"/>
    </row>
    <row r="1813" spans="4:4">
      <c r="D1813" s="16"/>
    </row>
    <row r="1814" spans="4:4">
      <c r="D1814" s="16"/>
    </row>
    <row r="1815" spans="4:4">
      <c r="D1815" s="16"/>
    </row>
    <row r="1816" spans="4:4">
      <c r="D1816" s="16"/>
    </row>
    <row r="1817" spans="4:4">
      <c r="D1817" s="16"/>
    </row>
    <row r="1818" spans="4:4">
      <c r="D1818" s="16"/>
    </row>
    <row r="1819" spans="4:4">
      <c r="D1819" s="16"/>
    </row>
    <row r="1820" spans="4:4">
      <c r="D1820" s="16"/>
    </row>
    <row r="1821" spans="4:4">
      <c r="D1821" s="16"/>
    </row>
    <row r="1822" spans="4:4">
      <c r="D1822" s="16"/>
    </row>
    <row r="1823" spans="4:4">
      <c r="D1823" s="16"/>
    </row>
    <row r="1824" spans="4:4">
      <c r="D1824" s="16"/>
    </row>
    <row r="1825" spans="4:4">
      <c r="D1825" s="16"/>
    </row>
    <row r="1826" spans="4:4">
      <c r="D1826" s="16"/>
    </row>
    <row r="1827" spans="4:4">
      <c r="D1827" s="16"/>
    </row>
    <row r="1828" spans="4:4">
      <c r="D1828" s="16"/>
    </row>
    <row r="1829" spans="4:4">
      <c r="D1829" s="16"/>
    </row>
    <row r="1830" spans="4:4">
      <c r="D1830" s="16"/>
    </row>
    <row r="1831" spans="4:4">
      <c r="D1831" s="16"/>
    </row>
    <row r="1832" spans="4:4">
      <c r="D1832" s="16"/>
    </row>
    <row r="1833" spans="4:4">
      <c r="D1833" s="16"/>
    </row>
    <row r="1834" spans="4:4">
      <c r="D1834" s="16"/>
    </row>
    <row r="1835" spans="4:4">
      <c r="D1835" s="16"/>
    </row>
    <row r="1836" spans="4:4">
      <c r="D1836" s="16"/>
    </row>
    <row r="1837" spans="4:4">
      <c r="D1837" s="16"/>
    </row>
    <row r="1838" spans="4:4">
      <c r="D1838" s="16"/>
    </row>
    <row r="1839" spans="4:4">
      <c r="D1839" s="16"/>
    </row>
    <row r="1840" spans="4:4">
      <c r="D1840" s="16"/>
    </row>
    <row r="1841" spans="4:4">
      <c r="D1841" s="16"/>
    </row>
    <row r="1842" spans="4:4">
      <c r="D1842" s="16"/>
    </row>
    <row r="1843" spans="4:4">
      <c r="D1843" s="16"/>
    </row>
    <row r="1844" spans="4:4">
      <c r="D1844" s="16"/>
    </row>
    <row r="1845" spans="4:4">
      <c r="D1845" s="16"/>
    </row>
    <row r="1846" spans="4:4">
      <c r="D1846" s="16"/>
    </row>
    <row r="1847" spans="4:4">
      <c r="D1847" s="16"/>
    </row>
    <row r="1848" spans="4:4">
      <c r="D1848" s="16"/>
    </row>
    <row r="1849" spans="4:4">
      <c r="D1849" s="16"/>
    </row>
    <row r="1850" spans="4:4">
      <c r="D1850" s="16"/>
    </row>
    <row r="1851" spans="4:4">
      <c r="D1851" s="16"/>
    </row>
    <row r="1852" spans="4:4">
      <c r="D1852" s="16"/>
    </row>
    <row r="1853" spans="4:4">
      <c r="D1853" s="16"/>
    </row>
    <row r="1854" spans="4:4">
      <c r="D1854" s="16"/>
    </row>
    <row r="1855" spans="4:4">
      <c r="D1855" s="16"/>
    </row>
    <row r="1856" spans="4:4">
      <c r="D1856" s="16"/>
    </row>
    <row r="1857" spans="4:4">
      <c r="D1857" s="16"/>
    </row>
    <row r="1858" spans="4:4">
      <c r="D1858" s="16"/>
    </row>
    <row r="1859" spans="4:4">
      <c r="D1859" s="16"/>
    </row>
    <row r="1860" spans="4:4">
      <c r="D1860" s="16"/>
    </row>
    <row r="1861" spans="4:4">
      <c r="D1861" s="16"/>
    </row>
    <row r="1862" spans="4:4">
      <c r="D1862" s="16"/>
    </row>
    <row r="1863" spans="4:4">
      <c r="D1863" s="16"/>
    </row>
    <row r="1864" spans="4:4">
      <c r="D1864" s="16"/>
    </row>
    <row r="1865" spans="4:4">
      <c r="D1865" s="16"/>
    </row>
    <row r="1866" spans="4:4">
      <c r="D1866" s="16"/>
    </row>
    <row r="1867" spans="4:4">
      <c r="D1867" s="16"/>
    </row>
    <row r="1868" spans="4:4">
      <c r="D1868" s="16"/>
    </row>
    <row r="1869" spans="4:4">
      <c r="D1869" s="16"/>
    </row>
    <row r="1870" spans="4:4">
      <c r="D1870" s="16"/>
    </row>
    <row r="1871" spans="4:4">
      <c r="D1871" s="16"/>
    </row>
    <row r="1872" spans="4:4">
      <c r="D1872" s="16"/>
    </row>
    <row r="1873" spans="4:4">
      <c r="D1873" s="16"/>
    </row>
    <row r="1874" spans="4:4">
      <c r="D1874" s="16"/>
    </row>
    <row r="1875" spans="4:4">
      <c r="D1875" s="16"/>
    </row>
    <row r="1876" spans="4:4">
      <c r="D1876" s="16"/>
    </row>
    <row r="1877" spans="4:4">
      <c r="D1877" s="16"/>
    </row>
    <row r="1878" spans="4:4">
      <c r="D1878" s="16"/>
    </row>
    <row r="1879" spans="4:4">
      <c r="D1879" s="16"/>
    </row>
    <row r="1880" spans="4:4">
      <c r="D1880" s="16"/>
    </row>
    <row r="1881" spans="4:4">
      <c r="D1881" s="16"/>
    </row>
    <row r="1882" spans="4:4">
      <c r="D1882" s="16"/>
    </row>
    <row r="1883" spans="4:4">
      <c r="D1883" s="16"/>
    </row>
    <row r="1884" spans="4:4">
      <c r="D1884" s="16"/>
    </row>
    <row r="1885" spans="4:4">
      <c r="D1885" s="16"/>
    </row>
    <row r="1886" spans="4:4">
      <c r="D1886" s="16"/>
    </row>
    <row r="1887" spans="4:4">
      <c r="D1887" s="16"/>
    </row>
    <row r="1888" spans="4:4">
      <c r="D1888" s="16"/>
    </row>
    <row r="1889" spans="4:4">
      <c r="D1889" s="16"/>
    </row>
    <row r="1890" spans="4:4">
      <c r="D1890" s="16"/>
    </row>
    <row r="1891" spans="4:4">
      <c r="D1891" s="16"/>
    </row>
    <row r="1892" spans="4:4">
      <c r="D1892" s="16"/>
    </row>
    <row r="1893" spans="4:4">
      <c r="D1893" s="16"/>
    </row>
    <row r="1894" spans="4:4">
      <c r="D1894" s="16"/>
    </row>
    <row r="1895" spans="4:4">
      <c r="D1895" s="16"/>
    </row>
    <row r="1896" spans="4:4">
      <c r="D1896" s="16"/>
    </row>
    <row r="1897" spans="4:4">
      <c r="D1897" s="16"/>
    </row>
    <row r="1898" spans="4:4">
      <c r="D1898" s="16"/>
    </row>
    <row r="1899" spans="4:4">
      <c r="D1899" s="16"/>
    </row>
    <row r="1900" spans="4:4">
      <c r="D1900" s="16"/>
    </row>
    <row r="1901" spans="4:4">
      <c r="D1901" s="16"/>
    </row>
    <row r="1902" spans="4:4">
      <c r="D1902" s="16"/>
    </row>
    <row r="1903" spans="4:4">
      <c r="D1903" s="16"/>
    </row>
    <row r="1904" spans="4:4">
      <c r="D1904" s="16"/>
    </row>
    <row r="1905" spans="4:4">
      <c r="D1905" s="16"/>
    </row>
    <row r="1906" spans="4:4">
      <c r="D1906" s="16"/>
    </row>
    <row r="1907" spans="4:4">
      <c r="D1907" s="16"/>
    </row>
    <row r="1908" spans="4:4">
      <c r="D1908" s="16"/>
    </row>
    <row r="1909" spans="4:4">
      <c r="D1909" s="16"/>
    </row>
    <row r="1910" spans="4:4">
      <c r="D1910" s="16"/>
    </row>
    <row r="1911" spans="4:4">
      <c r="D1911" s="16"/>
    </row>
    <row r="1912" spans="4:4">
      <c r="D1912" s="16"/>
    </row>
    <row r="1913" spans="4:4">
      <c r="D1913" s="16"/>
    </row>
    <row r="1914" spans="4:4">
      <c r="D1914" s="16"/>
    </row>
    <row r="1915" spans="4:4">
      <c r="D1915" s="16"/>
    </row>
    <row r="1916" spans="4:4">
      <c r="D1916" s="16"/>
    </row>
    <row r="1917" spans="4:4">
      <c r="D1917" s="16"/>
    </row>
    <row r="1918" spans="4:4">
      <c r="D1918" s="16"/>
    </row>
    <row r="1919" spans="4:4">
      <c r="D1919" s="16"/>
    </row>
    <row r="1920" spans="4:4">
      <c r="D1920" s="16"/>
    </row>
    <row r="1921" spans="4:4">
      <c r="D1921" s="16"/>
    </row>
    <row r="1922" spans="4:4">
      <c r="D1922" s="16"/>
    </row>
    <row r="1923" spans="4:4">
      <c r="D1923" s="16"/>
    </row>
    <row r="1924" spans="4:4">
      <c r="D1924" s="16"/>
    </row>
    <row r="1925" spans="4:4">
      <c r="D1925" s="16"/>
    </row>
    <row r="1926" spans="4:4">
      <c r="D1926" s="16"/>
    </row>
    <row r="1927" spans="4:4">
      <c r="D1927" s="16"/>
    </row>
    <row r="1928" spans="4:4">
      <c r="D1928" s="16"/>
    </row>
    <row r="1929" spans="4:4">
      <c r="D1929" s="16"/>
    </row>
    <row r="1930" spans="4:4">
      <c r="D1930" s="16"/>
    </row>
    <row r="1931" spans="4:4">
      <c r="D1931" s="16"/>
    </row>
    <row r="1932" spans="4:4">
      <c r="D1932" s="16"/>
    </row>
    <row r="1933" spans="4:4">
      <c r="D1933" s="16"/>
    </row>
    <row r="1934" spans="4:4">
      <c r="D1934" s="16"/>
    </row>
    <row r="1935" spans="4:4">
      <c r="D1935" s="16"/>
    </row>
    <row r="1936" spans="4:4">
      <c r="D1936" s="16"/>
    </row>
    <row r="1937" spans="4:4">
      <c r="D1937" s="16"/>
    </row>
    <row r="1938" spans="4:4">
      <c r="D1938" s="16"/>
    </row>
    <row r="1939" spans="4:4">
      <c r="D1939" s="16"/>
    </row>
    <row r="1940" spans="4:4">
      <c r="D1940" s="16"/>
    </row>
    <row r="1941" spans="4:4">
      <c r="D1941" s="16"/>
    </row>
    <row r="1942" spans="4:4">
      <c r="D1942" s="16"/>
    </row>
    <row r="1943" spans="4:4">
      <c r="D1943" s="16"/>
    </row>
    <row r="1944" spans="4:4">
      <c r="D1944" s="16"/>
    </row>
    <row r="1945" spans="4:4">
      <c r="D1945" s="16"/>
    </row>
    <row r="1946" spans="4:4">
      <c r="D1946" s="16"/>
    </row>
    <row r="1947" spans="4:4">
      <c r="D1947" s="16"/>
    </row>
    <row r="1948" spans="4:4">
      <c r="D1948" s="16"/>
    </row>
    <row r="1949" spans="4:4">
      <c r="D1949" s="16"/>
    </row>
    <row r="1950" spans="4:4">
      <c r="D1950" s="16"/>
    </row>
    <row r="1951" spans="4:4">
      <c r="D1951" s="16"/>
    </row>
    <row r="1952" spans="4:4">
      <c r="D1952" s="16"/>
    </row>
    <row r="1953" spans="4:4">
      <c r="D1953" s="16"/>
    </row>
    <row r="1954" spans="4:4">
      <c r="D1954" s="16"/>
    </row>
    <row r="1955" spans="4:4">
      <c r="D1955" s="16"/>
    </row>
    <row r="1956" spans="4:4">
      <c r="D1956" s="16"/>
    </row>
    <row r="1957" spans="4:4">
      <c r="D1957" s="16"/>
    </row>
    <row r="1958" spans="4:4">
      <c r="D1958" s="16"/>
    </row>
    <row r="1959" spans="4:4">
      <c r="D1959" s="16"/>
    </row>
    <row r="1960" spans="4:4">
      <c r="D1960" s="16"/>
    </row>
    <row r="1961" spans="4:4">
      <c r="D1961" s="16"/>
    </row>
    <row r="1962" spans="4:4">
      <c r="D1962" s="16"/>
    </row>
    <row r="1963" spans="4:4">
      <c r="D1963" s="16"/>
    </row>
    <row r="1964" spans="4:4">
      <c r="D1964" s="16"/>
    </row>
    <row r="1965" spans="4:4">
      <c r="D1965" s="16"/>
    </row>
    <row r="1966" spans="4:4">
      <c r="D1966" s="16"/>
    </row>
    <row r="1967" spans="4:4">
      <c r="D1967" s="16"/>
    </row>
    <row r="1968" spans="4:4">
      <c r="D1968" s="16"/>
    </row>
    <row r="1969" spans="4:4">
      <c r="D1969" s="16"/>
    </row>
    <row r="1970" spans="4:4">
      <c r="D1970" s="16"/>
    </row>
    <row r="1971" spans="4:4">
      <c r="D1971" s="16"/>
    </row>
    <row r="1972" spans="4:4">
      <c r="D1972" s="16"/>
    </row>
    <row r="1973" spans="4:4">
      <c r="D1973" s="16"/>
    </row>
    <row r="1974" spans="4:4">
      <c r="D1974" s="16"/>
    </row>
    <row r="1975" spans="4:4">
      <c r="D1975" s="16"/>
    </row>
    <row r="1976" spans="4:4">
      <c r="D1976" s="16"/>
    </row>
    <row r="1977" spans="4:4">
      <c r="D1977" s="16"/>
    </row>
    <row r="1978" spans="4:4">
      <c r="D1978" s="16"/>
    </row>
    <row r="1979" spans="4:4">
      <c r="D1979" s="16"/>
    </row>
    <row r="1980" spans="4:4">
      <c r="D1980" s="16"/>
    </row>
    <row r="1981" spans="4:4">
      <c r="D1981" s="16"/>
    </row>
    <row r="1982" spans="4:4">
      <c r="D1982" s="16"/>
    </row>
    <row r="1983" spans="4:4">
      <c r="D1983" s="16"/>
    </row>
    <row r="1984" spans="4:4">
      <c r="D1984" s="16"/>
    </row>
    <row r="1985" spans="4:4">
      <c r="D1985" s="16"/>
    </row>
    <row r="1986" spans="4:4">
      <c r="D1986" s="16"/>
    </row>
    <row r="1987" spans="4:4">
      <c r="D1987" s="16"/>
    </row>
    <row r="1988" spans="4:4">
      <c r="D1988" s="16"/>
    </row>
    <row r="1989" spans="4:4">
      <c r="D1989" s="16"/>
    </row>
    <row r="1990" spans="4:4">
      <c r="D1990" s="16"/>
    </row>
    <row r="1991" spans="4:4">
      <c r="D1991" s="16"/>
    </row>
    <row r="1992" spans="4:4">
      <c r="D1992" s="16"/>
    </row>
    <row r="1993" spans="4:4">
      <c r="D1993" s="16"/>
    </row>
    <row r="1994" spans="4:4">
      <c r="D1994" s="16"/>
    </row>
    <row r="1995" spans="4:4">
      <c r="D1995" s="16"/>
    </row>
    <row r="1996" spans="4:4">
      <c r="D1996" s="16"/>
    </row>
    <row r="1997" spans="4:4">
      <c r="D1997" s="16"/>
    </row>
    <row r="1998" spans="4:4">
      <c r="D1998" s="16"/>
    </row>
    <row r="1999" spans="4:4">
      <c r="D1999" s="16"/>
    </row>
    <row r="2000" spans="4:4">
      <c r="D2000" s="16"/>
    </row>
    <row r="2001" spans="4:4">
      <c r="D2001" s="16"/>
    </row>
    <row r="2002" spans="4:4">
      <c r="D2002" s="16"/>
    </row>
    <row r="2003" spans="4:4">
      <c r="D2003" s="16"/>
    </row>
    <row r="2004" spans="4:4">
      <c r="D2004" s="16"/>
    </row>
    <row r="2005" spans="4:4">
      <c r="D2005" s="16"/>
    </row>
    <row r="2006" spans="4:4">
      <c r="D2006" s="16"/>
    </row>
    <row r="2007" spans="4:4">
      <c r="D2007" s="16"/>
    </row>
    <row r="2008" spans="4:4">
      <c r="D2008" s="16"/>
    </row>
    <row r="2009" spans="4:4">
      <c r="D2009" s="16"/>
    </row>
    <row r="2010" spans="4:4">
      <c r="D2010" s="16"/>
    </row>
    <row r="2011" spans="4:4">
      <c r="D2011" s="16"/>
    </row>
    <row r="2012" spans="4:4">
      <c r="D2012" s="16"/>
    </row>
    <row r="2013" spans="4:4">
      <c r="D2013" s="16"/>
    </row>
    <row r="2014" spans="4:4">
      <c r="D2014" s="16"/>
    </row>
    <row r="2015" spans="4:4">
      <c r="D2015" s="16"/>
    </row>
    <row r="2016" spans="4:4">
      <c r="D2016" s="16"/>
    </row>
    <row r="2017" spans="4:4">
      <c r="D2017" s="16"/>
    </row>
    <row r="2018" spans="4:4">
      <c r="D2018" s="16"/>
    </row>
    <row r="2019" spans="4:4">
      <c r="D2019" s="16"/>
    </row>
    <row r="2020" spans="4:4">
      <c r="D2020" s="16"/>
    </row>
    <row r="2021" spans="4:4">
      <c r="D2021" s="16"/>
    </row>
    <row r="2022" spans="4:4">
      <c r="D2022" s="16"/>
    </row>
    <row r="2023" spans="4:4">
      <c r="D2023" s="16"/>
    </row>
    <row r="2024" spans="4:4">
      <c r="D2024" s="16"/>
    </row>
    <row r="2025" spans="4:4">
      <c r="D2025" s="16"/>
    </row>
    <row r="2026" spans="4:4">
      <c r="D2026" s="16"/>
    </row>
    <row r="2027" spans="4:4">
      <c r="D2027" s="16"/>
    </row>
    <row r="2028" spans="4:4">
      <c r="D2028" s="16"/>
    </row>
    <row r="2029" spans="4:4">
      <c r="D2029" s="16"/>
    </row>
    <row r="2030" spans="4:4">
      <c r="D2030" s="16"/>
    </row>
    <row r="2031" spans="4:4">
      <c r="D2031" s="16"/>
    </row>
    <row r="2032" spans="4:4">
      <c r="D2032" s="16"/>
    </row>
    <row r="2033" spans="4:4">
      <c r="D2033" s="16"/>
    </row>
    <row r="2034" spans="4:4">
      <c r="D2034" s="16"/>
    </row>
    <row r="2035" spans="4:4">
      <c r="D2035" s="16"/>
    </row>
    <row r="2036" spans="4:4">
      <c r="D2036" s="16"/>
    </row>
    <row r="2037" spans="4:4">
      <c r="D2037" s="16"/>
    </row>
    <row r="2038" spans="4:4">
      <c r="D2038" s="16"/>
    </row>
    <row r="2039" spans="4:4">
      <c r="D2039" s="16"/>
    </row>
    <row r="2040" spans="4:4">
      <c r="D2040" s="16"/>
    </row>
    <row r="2041" spans="4:4">
      <c r="D2041" s="16"/>
    </row>
    <row r="2042" spans="4:4">
      <c r="D2042" s="16"/>
    </row>
    <row r="2043" spans="4:4">
      <c r="D2043" s="16"/>
    </row>
    <row r="2044" spans="4:4">
      <c r="D2044" s="16"/>
    </row>
    <row r="2045" spans="4:4">
      <c r="D2045" s="16"/>
    </row>
    <row r="2046" spans="4:4">
      <c r="D2046" s="16"/>
    </row>
    <row r="2047" spans="4:4">
      <c r="D2047" s="16"/>
    </row>
    <row r="2048" spans="4:4">
      <c r="D2048" s="16"/>
    </row>
    <row r="2049" spans="4:4">
      <c r="D2049" s="16"/>
    </row>
    <row r="2050" spans="4:4">
      <c r="D2050" s="16"/>
    </row>
    <row r="2051" spans="4:4">
      <c r="D2051" s="16"/>
    </row>
    <row r="2052" spans="4:4">
      <c r="D2052" s="16"/>
    </row>
    <row r="2053" spans="4:4">
      <c r="D2053" s="16"/>
    </row>
    <row r="2054" spans="4:4">
      <c r="D2054" s="16"/>
    </row>
    <row r="2055" spans="4:4">
      <c r="D2055" s="16"/>
    </row>
    <row r="2056" spans="4:4">
      <c r="D2056" s="16"/>
    </row>
    <row r="2057" spans="4:4">
      <c r="D2057" s="16"/>
    </row>
    <row r="2058" spans="4:4">
      <c r="D2058" s="16"/>
    </row>
    <row r="2059" spans="4:4">
      <c r="D2059" s="16"/>
    </row>
    <row r="2060" spans="4:4">
      <c r="D2060" s="16"/>
    </row>
    <row r="2061" spans="4:4">
      <c r="D2061" s="16"/>
    </row>
    <row r="2062" spans="4:4">
      <c r="D2062" s="16"/>
    </row>
    <row r="2063" spans="4:4">
      <c r="D2063" s="16"/>
    </row>
    <row r="2064" spans="4:4">
      <c r="D2064" s="16"/>
    </row>
    <row r="2065" spans="4:4">
      <c r="D2065" s="16"/>
    </row>
    <row r="2066" spans="4:4">
      <c r="D2066" s="16"/>
    </row>
    <row r="2067" spans="4:4">
      <c r="D2067" s="16"/>
    </row>
    <row r="2068" spans="4:4">
      <c r="D2068" s="16"/>
    </row>
    <row r="2069" spans="4:4">
      <c r="D2069" s="16"/>
    </row>
    <row r="2070" spans="4:4">
      <c r="D2070" s="16"/>
    </row>
    <row r="2071" spans="4:4">
      <c r="D2071" s="16"/>
    </row>
    <row r="2072" spans="4:4">
      <c r="D2072" s="16"/>
    </row>
    <row r="2073" spans="4:4">
      <c r="D2073" s="16"/>
    </row>
    <row r="2074" spans="4:4">
      <c r="D2074" s="16"/>
    </row>
    <row r="2075" spans="4:4">
      <c r="D2075" s="16"/>
    </row>
    <row r="2076" spans="4:4">
      <c r="D2076" s="16"/>
    </row>
    <row r="2077" spans="4:4">
      <c r="D2077" s="16"/>
    </row>
    <row r="2078" spans="4:4">
      <c r="D2078" s="16"/>
    </row>
    <row r="2079" spans="4:4">
      <c r="D2079" s="16"/>
    </row>
    <row r="2080" spans="4:4">
      <c r="D2080" s="16"/>
    </row>
    <row r="2081" spans="4:4">
      <c r="D2081" s="16"/>
    </row>
    <row r="2082" spans="4:4">
      <c r="D2082" s="16"/>
    </row>
    <row r="2083" spans="4:4">
      <c r="D2083" s="16"/>
    </row>
    <row r="2084" spans="4:4">
      <c r="D2084" s="16"/>
    </row>
    <row r="2085" spans="4:4">
      <c r="D2085" s="16"/>
    </row>
    <row r="2086" spans="4:4">
      <c r="D2086" s="16"/>
    </row>
    <row r="2087" spans="4:4">
      <c r="D2087" s="16"/>
    </row>
    <row r="2088" spans="4:4">
      <c r="D2088" s="16"/>
    </row>
    <row r="2089" spans="4:4">
      <c r="D2089" s="16"/>
    </row>
    <row r="2090" spans="4:4">
      <c r="D2090" s="16"/>
    </row>
    <row r="2091" spans="4:4">
      <c r="D2091" s="16"/>
    </row>
    <row r="2092" spans="4:4">
      <c r="D2092" s="16"/>
    </row>
    <row r="2093" spans="4:4">
      <c r="D2093" s="16"/>
    </row>
    <row r="2094" spans="4:4">
      <c r="D2094" s="16"/>
    </row>
    <row r="2095" spans="4:4">
      <c r="D2095" s="16"/>
    </row>
    <row r="2096" spans="4:4">
      <c r="D2096" s="16"/>
    </row>
    <row r="2097" spans="4:4">
      <c r="D2097" s="16"/>
    </row>
    <row r="2098" spans="4:4">
      <c r="D2098" s="16"/>
    </row>
    <row r="2099" spans="4:4">
      <c r="D2099" s="16"/>
    </row>
    <row r="2100" spans="4:4">
      <c r="D2100" s="16"/>
    </row>
    <row r="2101" spans="4:4">
      <c r="D2101" s="16"/>
    </row>
    <row r="2102" spans="4:4">
      <c r="D2102" s="16"/>
    </row>
    <row r="2103" spans="4:4">
      <c r="D2103" s="16"/>
    </row>
    <row r="2104" spans="4:4">
      <c r="D2104" s="16"/>
    </row>
    <row r="2105" spans="4:4">
      <c r="D2105" s="16"/>
    </row>
    <row r="2106" spans="4:4">
      <c r="D2106" s="16"/>
    </row>
    <row r="2107" spans="4:4">
      <c r="D2107" s="16"/>
    </row>
    <row r="2108" spans="4:4">
      <c r="D2108" s="16"/>
    </row>
    <row r="2109" spans="4:4">
      <c r="D2109" s="16"/>
    </row>
    <row r="2110" spans="4:4">
      <c r="D2110" s="16"/>
    </row>
    <row r="2111" spans="4:4">
      <c r="D2111" s="16"/>
    </row>
    <row r="2112" spans="4:4">
      <c r="D2112" s="16"/>
    </row>
    <row r="2113" spans="4:4">
      <c r="D2113" s="16"/>
    </row>
    <row r="2114" spans="4:4">
      <c r="D2114" s="16"/>
    </row>
    <row r="2115" spans="4:4">
      <c r="D2115" s="16"/>
    </row>
    <row r="2116" spans="4:4">
      <c r="D2116" s="16"/>
    </row>
    <row r="2117" spans="4:4">
      <c r="D2117" s="16"/>
    </row>
    <row r="2118" spans="4:4">
      <c r="D2118" s="16"/>
    </row>
    <row r="2119" spans="4:4">
      <c r="D2119" s="16"/>
    </row>
    <row r="2120" spans="4:4">
      <c r="D2120" s="16"/>
    </row>
    <row r="2121" spans="4:4">
      <c r="D2121" s="16"/>
    </row>
    <row r="2122" spans="4:4">
      <c r="D2122" s="16"/>
    </row>
    <row r="2123" spans="4:4">
      <c r="D2123" s="16"/>
    </row>
    <row r="2124" spans="4:4">
      <c r="D2124" s="16"/>
    </row>
    <row r="2125" spans="4:4">
      <c r="D2125" s="16"/>
    </row>
    <row r="2126" spans="4:4">
      <c r="D2126" s="16"/>
    </row>
    <row r="2127" spans="4:4">
      <c r="D2127" s="16"/>
    </row>
    <row r="2128" spans="4:4">
      <c r="D2128" s="16"/>
    </row>
    <row r="2129" spans="4:4">
      <c r="D2129" s="16"/>
    </row>
    <row r="2130" spans="4:4">
      <c r="D2130" s="16"/>
    </row>
    <row r="2131" spans="4:4">
      <c r="D2131" s="16"/>
    </row>
    <row r="2132" spans="4:4">
      <c r="D2132" s="16"/>
    </row>
    <row r="2133" spans="4:4">
      <c r="D2133" s="16"/>
    </row>
    <row r="2134" spans="4:4">
      <c r="D2134" s="16"/>
    </row>
    <row r="2135" spans="4:4">
      <c r="D2135" s="16"/>
    </row>
    <row r="2136" spans="4:4">
      <c r="D2136" s="16"/>
    </row>
    <row r="2137" spans="4:4">
      <c r="D2137" s="16"/>
    </row>
    <row r="2138" spans="4:4">
      <c r="D2138" s="16"/>
    </row>
    <row r="2139" spans="4:4">
      <c r="D2139" s="16"/>
    </row>
    <row r="2140" spans="4:4">
      <c r="D2140" s="16"/>
    </row>
    <row r="2141" spans="4:4">
      <c r="D2141" s="16"/>
    </row>
    <row r="2142" spans="4:4">
      <c r="D2142" s="16"/>
    </row>
    <row r="2143" spans="4:4">
      <c r="D2143" s="16"/>
    </row>
    <row r="2144" spans="4:4">
      <c r="D2144" s="16"/>
    </row>
    <row r="2145" spans="4:4">
      <c r="D2145" s="16"/>
    </row>
    <row r="2146" spans="4:4">
      <c r="D2146" s="16"/>
    </row>
    <row r="2147" spans="4:4">
      <c r="D2147" s="16"/>
    </row>
    <row r="2148" spans="4:4">
      <c r="D2148" s="16"/>
    </row>
    <row r="2149" spans="4:4">
      <c r="D2149" s="16"/>
    </row>
    <row r="2150" spans="4:4">
      <c r="D2150" s="16"/>
    </row>
    <row r="2151" spans="4:4">
      <c r="D2151" s="16"/>
    </row>
    <row r="2152" spans="4:4">
      <c r="D2152" s="16"/>
    </row>
    <row r="2153" spans="4:4">
      <c r="D2153" s="16"/>
    </row>
    <row r="2154" spans="4:4">
      <c r="D2154" s="16"/>
    </row>
    <row r="2155" spans="4:4">
      <c r="D2155" s="16"/>
    </row>
    <row r="2156" spans="4:4">
      <c r="D2156" s="16"/>
    </row>
    <row r="2157" spans="4:4">
      <c r="D2157" s="16"/>
    </row>
    <row r="2158" spans="4:4">
      <c r="D2158" s="16"/>
    </row>
    <row r="2159" spans="4:4">
      <c r="D2159" s="16"/>
    </row>
    <row r="2160" spans="4:4">
      <c r="D2160" s="16"/>
    </row>
    <row r="2161" spans="4:4">
      <c r="D2161" s="16"/>
    </row>
    <row r="2162" spans="4:4">
      <c r="D2162" s="16"/>
    </row>
    <row r="2163" spans="4:4">
      <c r="D2163" s="16"/>
    </row>
    <row r="2164" spans="4:4">
      <c r="D2164" s="16"/>
    </row>
    <row r="2165" spans="4:4">
      <c r="D2165" s="16"/>
    </row>
    <row r="2166" spans="4:4">
      <c r="D2166" s="16"/>
    </row>
    <row r="2167" spans="4:4">
      <c r="D2167" s="16"/>
    </row>
    <row r="2168" spans="4:4">
      <c r="D2168" s="16"/>
    </row>
    <row r="2169" spans="4:4">
      <c r="D2169" s="16"/>
    </row>
    <row r="2170" spans="4:4">
      <c r="D2170" s="16"/>
    </row>
    <row r="2171" spans="4:4">
      <c r="D2171" s="16"/>
    </row>
    <row r="2172" spans="4:4">
      <c r="D2172" s="16"/>
    </row>
    <row r="2173" spans="4:4">
      <c r="D2173" s="16"/>
    </row>
    <row r="2174" spans="4:4">
      <c r="D2174" s="16"/>
    </row>
    <row r="2175" spans="4:4">
      <c r="D2175" s="16"/>
    </row>
    <row r="2176" spans="4:4">
      <c r="D2176" s="16"/>
    </row>
    <row r="2177" spans="4:4">
      <c r="D2177" s="16"/>
    </row>
    <row r="2178" spans="4:4">
      <c r="D2178" s="16"/>
    </row>
    <row r="2179" spans="4:4">
      <c r="D2179" s="16"/>
    </row>
    <row r="2180" spans="4:4">
      <c r="D2180" s="16"/>
    </row>
    <row r="2181" spans="4:4">
      <c r="D2181" s="16"/>
    </row>
    <row r="2182" spans="4:4">
      <c r="D2182" s="16"/>
    </row>
    <row r="2183" spans="4:4">
      <c r="D2183" s="16"/>
    </row>
    <row r="2184" spans="4:4">
      <c r="D2184" s="16"/>
    </row>
    <row r="2185" spans="4:4">
      <c r="D2185" s="16"/>
    </row>
    <row r="2186" spans="4:4">
      <c r="D2186" s="16"/>
    </row>
    <row r="2187" spans="4:4">
      <c r="D2187" s="16"/>
    </row>
    <row r="2188" spans="4:4">
      <c r="D2188" s="16"/>
    </row>
    <row r="2189" spans="4:4">
      <c r="D2189" s="16"/>
    </row>
    <row r="2190" spans="4:4">
      <c r="D2190" s="16"/>
    </row>
    <row r="2191" spans="4:4">
      <c r="D2191" s="16"/>
    </row>
    <row r="2192" spans="4:4">
      <c r="D2192" s="16"/>
    </row>
    <row r="2193" spans="4:4">
      <c r="D2193" s="16"/>
    </row>
    <row r="2194" spans="4:4">
      <c r="D2194" s="16"/>
    </row>
    <row r="2195" spans="4:4">
      <c r="D2195" s="16"/>
    </row>
    <row r="2196" spans="4:4">
      <c r="D2196" s="16"/>
    </row>
    <row r="2197" spans="4:4">
      <c r="D2197" s="16"/>
    </row>
    <row r="2198" spans="4:4">
      <c r="D2198" s="16"/>
    </row>
    <row r="2199" spans="4:4">
      <c r="D2199" s="16"/>
    </row>
    <row r="2200" spans="4:4">
      <c r="D2200" s="16"/>
    </row>
    <row r="2201" spans="4:4">
      <c r="D2201" s="16"/>
    </row>
    <row r="2202" spans="4:4">
      <c r="D2202" s="16"/>
    </row>
    <row r="2203" spans="4:4">
      <c r="D2203" s="16"/>
    </row>
    <row r="2204" spans="4:4">
      <c r="D2204" s="16"/>
    </row>
    <row r="2205" spans="4:4">
      <c r="D2205" s="16"/>
    </row>
    <row r="2206" spans="4:4">
      <c r="D2206" s="16"/>
    </row>
    <row r="2207" spans="4:4">
      <c r="D2207" s="16"/>
    </row>
    <row r="2208" spans="4:4">
      <c r="D2208" s="16"/>
    </row>
    <row r="2209" spans="4:4">
      <c r="D2209" s="16"/>
    </row>
    <row r="2210" spans="4:4">
      <c r="D2210" s="16"/>
    </row>
    <row r="2211" spans="4:4">
      <c r="D2211" s="16"/>
    </row>
    <row r="2212" spans="4:4">
      <c r="D2212" s="16"/>
    </row>
    <row r="2213" spans="4:4">
      <c r="D2213" s="16"/>
    </row>
    <row r="2214" spans="4:4">
      <c r="D2214" s="16"/>
    </row>
    <row r="2215" spans="4:4">
      <c r="D2215" s="16"/>
    </row>
    <row r="2216" spans="4:4">
      <c r="D2216" s="16"/>
    </row>
    <row r="2217" spans="4:4">
      <c r="D2217" s="16"/>
    </row>
    <row r="2218" spans="4:4">
      <c r="D2218" s="16"/>
    </row>
    <row r="2219" spans="4:4">
      <c r="D2219" s="16"/>
    </row>
    <row r="2220" spans="4:4">
      <c r="D2220" s="16"/>
    </row>
    <row r="2221" spans="4:4">
      <c r="D2221" s="16"/>
    </row>
    <row r="2222" spans="4:4">
      <c r="D2222" s="16"/>
    </row>
    <row r="2223" spans="4:4">
      <c r="D2223" s="16"/>
    </row>
    <row r="2224" spans="4:4">
      <c r="D2224" s="16"/>
    </row>
    <row r="2225" spans="4:4">
      <c r="D2225" s="16"/>
    </row>
    <row r="2226" spans="4:4">
      <c r="D2226" s="16"/>
    </row>
    <row r="2227" spans="4:4">
      <c r="D2227" s="16"/>
    </row>
    <row r="2228" spans="4:4">
      <c r="D2228" s="16"/>
    </row>
    <row r="2229" spans="4:4">
      <c r="D2229" s="16"/>
    </row>
    <row r="2230" spans="4:4">
      <c r="D2230" s="16"/>
    </row>
    <row r="2231" spans="4:4">
      <c r="D2231" s="16"/>
    </row>
    <row r="2232" spans="4:4">
      <c r="D2232" s="16"/>
    </row>
    <row r="2233" spans="4:4">
      <c r="D2233" s="16"/>
    </row>
    <row r="2234" spans="4:4">
      <c r="D2234" s="16"/>
    </row>
    <row r="2235" spans="4:4">
      <c r="D2235" s="16"/>
    </row>
    <row r="2236" spans="4:4">
      <c r="D2236" s="16"/>
    </row>
    <row r="2237" spans="4:4">
      <c r="D2237" s="16"/>
    </row>
    <row r="2238" spans="4:4">
      <c r="D2238" s="16"/>
    </row>
    <row r="2239" spans="4:4">
      <c r="D2239" s="16"/>
    </row>
    <row r="2240" spans="4:4">
      <c r="D2240" s="16"/>
    </row>
    <row r="2241" spans="4:4">
      <c r="D2241" s="16"/>
    </row>
    <row r="2242" spans="4:4">
      <c r="D2242" s="16"/>
    </row>
    <row r="2243" spans="4:4">
      <c r="D2243" s="16"/>
    </row>
    <row r="2244" spans="4:4">
      <c r="D2244" s="16"/>
    </row>
    <row r="2245" spans="4:4">
      <c r="D2245" s="16"/>
    </row>
    <row r="2246" spans="4:4">
      <c r="D2246" s="16"/>
    </row>
    <row r="2247" spans="4:4">
      <c r="D2247" s="16"/>
    </row>
    <row r="2248" spans="4:4">
      <c r="D2248" s="16"/>
    </row>
    <row r="2249" spans="4:4">
      <c r="D2249" s="16"/>
    </row>
    <row r="2250" spans="4:4">
      <c r="D2250" s="16"/>
    </row>
    <row r="2251" spans="4:4">
      <c r="D2251" s="16"/>
    </row>
    <row r="2252" spans="4:4">
      <c r="D2252" s="16"/>
    </row>
    <row r="2253" spans="4:4">
      <c r="D2253" s="16"/>
    </row>
    <row r="2254" spans="4:4">
      <c r="D2254" s="16"/>
    </row>
    <row r="2255" spans="4:4">
      <c r="D2255" s="16"/>
    </row>
    <row r="2256" spans="4:4">
      <c r="D2256" s="16"/>
    </row>
    <row r="2257" spans="4:4">
      <c r="D2257" s="16"/>
    </row>
    <row r="2258" spans="4:4">
      <c r="D2258" s="16"/>
    </row>
    <row r="2259" spans="4:4">
      <c r="D2259" s="16"/>
    </row>
    <row r="2260" spans="4:4">
      <c r="D2260" s="16"/>
    </row>
    <row r="2261" spans="4:4">
      <c r="D2261" s="16"/>
    </row>
    <row r="2262" spans="4:4">
      <c r="D2262" s="16"/>
    </row>
    <row r="2263" spans="4:4">
      <c r="D2263" s="16"/>
    </row>
    <row r="2264" spans="4:4">
      <c r="D2264" s="16"/>
    </row>
    <row r="2265" spans="4:4">
      <c r="D2265" s="16"/>
    </row>
    <row r="2266" spans="4:4">
      <c r="D2266" s="16"/>
    </row>
    <row r="2267" spans="4:4">
      <c r="D2267" s="16"/>
    </row>
    <row r="2268" spans="4:4">
      <c r="D2268" s="16"/>
    </row>
    <row r="2269" spans="4:4">
      <c r="D2269" s="16"/>
    </row>
    <row r="2270" spans="4:4">
      <c r="D2270" s="16"/>
    </row>
    <row r="2271" spans="4:4">
      <c r="D2271" s="16"/>
    </row>
    <row r="2272" spans="4:4">
      <c r="D2272" s="16"/>
    </row>
    <row r="2273" spans="4:4">
      <c r="D2273" s="16"/>
    </row>
    <row r="2274" spans="4:4">
      <c r="D2274" s="16"/>
    </row>
    <row r="2275" spans="4:4">
      <c r="D2275" s="16"/>
    </row>
    <row r="2276" spans="4:4">
      <c r="D2276" s="16"/>
    </row>
    <row r="2277" spans="4:4">
      <c r="D2277" s="16"/>
    </row>
    <row r="2278" spans="4:4">
      <c r="D2278" s="16"/>
    </row>
    <row r="2279" spans="4:4">
      <c r="D2279" s="16"/>
    </row>
    <row r="2280" spans="4:4">
      <c r="D2280" s="16"/>
    </row>
    <row r="2281" spans="4:4">
      <c r="D2281" s="16"/>
    </row>
    <row r="2282" spans="4:4">
      <c r="D2282" s="16"/>
    </row>
    <row r="2283" spans="4:4">
      <c r="D2283" s="16"/>
    </row>
    <row r="2284" spans="4:4">
      <c r="D2284" s="16"/>
    </row>
    <row r="2285" spans="4:4">
      <c r="D2285" s="16"/>
    </row>
    <row r="2286" spans="4:4">
      <c r="D2286" s="16"/>
    </row>
    <row r="2287" spans="4:4">
      <c r="D2287" s="16"/>
    </row>
    <row r="2288" spans="4:4">
      <c r="D2288" s="16"/>
    </row>
    <row r="2289" spans="4:4">
      <c r="D2289" s="16"/>
    </row>
    <row r="2290" spans="4:4">
      <c r="D2290" s="16"/>
    </row>
    <row r="2291" spans="4:4">
      <c r="D2291" s="16"/>
    </row>
    <row r="2292" spans="4:4">
      <c r="D2292" s="16"/>
    </row>
    <row r="2293" spans="4:4">
      <c r="D2293" s="16"/>
    </row>
    <row r="2294" spans="4:4">
      <c r="D2294" s="16"/>
    </row>
    <row r="2295" spans="4:4">
      <c r="D2295" s="16"/>
    </row>
    <row r="2296" spans="4:4">
      <c r="D2296" s="16"/>
    </row>
    <row r="2297" spans="4:4">
      <c r="D2297" s="16"/>
    </row>
    <row r="2298" spans="4:4">
      <c r="D2298" s="16"/>
    </row>
    <row r="2299" spans="4:4">
      <c r="D2299" s="16"/>
    </row>
    <row r="2300" spans="4:4">
      <c r="D2300" s="16"/>
    </row>
    <row r="2301" spans="4:4">
      <c r="D2301" s="16"/>
    </row>
    <row r="2302" spans="4:4">
      <c r="D2302" s="16"/>
    </row>
    <row r="2303" spans="4:4">
      <c r="D2303" s="16"/>
    </row>
    <row r="2304" spans="4:4">
      <c r="D2304" s="16"/>
    </row>
    <row r="2305" spans="4:4">
      <c r="D2305" s="16"/>
    </row>
    <row r="2306" spans="4:4">
      <c r="D2306" s="16"/>
    </row>
    <row r="2307" spans="4:4">
      <c r="D2307" s="16"/>
    </row>
    <row r="2308" spans="4:4">
      <c r="D2308" s="16"/>
    </row>
    <row r="2309" spans="4:4">
      <c r="D2309" s="16"/>
    </row>
    <row r="2310" spans="4:4">
      <c r="D2310" s="16"/>
    </row>
    <row r="2311" spans="4:4">
      <c r="D2311" s="16"/>
    </row>
    <row r="2312" spans="4:4">
      <c r="D2312" s="16"/>
    </row>
    <row r="2313" spans="4:4">
      <c r="D2313" s="16"/>
    </row>
    <row r="2314" spans="4:4">
      <c r="D2314" s="16"/>
    </row>
    <row r="2315" spans="4:4">
      <c r="D2315" s="16"/>
    </row>
    <row r="2316" spans="4:4">
      <c r="D2316" s="16"/>
    </row>
    <row r="2317" spans="4:4">
      <c r="D2317" s="16"/>
    </row>
    <row r="2318" spans="4:4">
      <c r="D2318" s="16"/>
    </row>
    <row r="2319" spans="4:4">
      <c r="D2319" s="16"/>
    </row>
    <row r="2320" spans="4:4">
      <c r="D2320" s="16"/>
    </row>
    <row r="2321" spans="4:4">
      <c r="D2321" s="16"/>
    </row>
    <row r="2322" spans="4:4">
      <c r="D2322" s="16"/>
    </row>
    <row r="2323" spans="4:4">
      <c r="D2323" s="16"/>
    </row>
    <row r="2324" spans="4:4">
      <c r="D2324" s="16"/>
    </row>
    <row r="2325" spans="4:4">
      <c r="D2325" s="16"/>
    </row>
    <row r="2326" spans="4:4">
      <c r="D2326" s="16"/>
    </row>
    <row r="2327" spans="4:4">
      <c r="D2327" s="16"/>
    </row>
    <row r="2328" spans="4:4">
      <c r="D2328" s="16"/>
    </row>
    <row r="2329" spans="4:4">
      <c r="D2329" s="16"/>
    </row>
    <row r="2330" spans="4:4">
      <c r="D2330" s="16"/>
    </row>
    <row r="2331" spans="4:4">
      <c r="D2331" s="16"/>
    </row>
    <row r="2332" spans="4:4">
      <c r="D2332" s="16"/>
    </row>
    <row r="2333" spans="4:4">
      <c r="D2333" s="16"/>
    </row>
    <row r="2334" spans="4:4">
      <c r="D2334" s="16"/>
    </row>
    <row r="2335" spans="4:4">
      <c r="D2335" s="16"/>
    </row>
    <row r="2336" spans="4:4">
      <c r="D2336" s="16"/>
    </row>
    <row r="2337" spans="4:4">
      <c r="D2337" s="16"/>
    </row>
    <row r="2338" spans="4:4">
      <c r="D2338" s="16"/>
    </row>
    <row r="2339" spans="4:4">
      <c r="D2339" s="16"/>
    </row>
    <row r="2340" spans="4:4">
      <c r="D2340" s="16"/>
    </row>
    <row r="2341" spans="4:4">
      <c r="D2341" s="16"/>
    </row>
    <row r="2342" spans="4:4">
      <c r="D2342" s="16"/>
    </row>
    <row r="2343" spans="4:4">
      <c r="D2343" s="16"/>
    </row>
    <row r="2344" spans="4:4">
      <c r="D2344" s="16"/>
    </row>
    <row r="2345" spans="4:4">
      <c r="D2345" s="16"/>
    </row>
    <row r="2346" spans="4:4">
      <c r="D2346" s="16"/>
    </row>
    <row r="2347" spans="4:4">
      <c r="D2347" s="16"/>
    </row>
    <row r="2348" spans="4:4">
      <c r="D2348" s="16"/>
    </row>
    <row r="2349" spans="4:4">
      <c r="D2349" s="16"/>
    </row>
    <row r="2350" spans="4:4">
      <c r="D2350" s="16"/>
    </row>
    <row r="2351" spans="4:4">
      <c r="D2351" s="16"/>
    </row>
    <row r="2352" spans="4:4">
      <c r="D2352" s="16"/>
    </row>
    <row r="2353" spans="4:4">
      <c r="D2353" s="16"/>
    </row>
    <row r="2354" spans="4:4">
      <c r="D2354" s="16"/>
    </row>
    <row r="2355" spans="4:4">
      <c r="D2355" s="16"/>
    </row>
    <row r="2356" spans="4:4">
      <c r="D2356" s="16"/>
    </row>
    <row r="2357" spans="4:4">
      <c r="D2357" s="16"/>
    </row>
    <row r="2358" spans="4:4">
      <c r="D2358" s="16"/>
    </row>
    <row r="2359" spans="4:4">
      <c r="D2359" s="16"/>
    </row>
    <row r="2360" spans="4:4">
      <c r="D2360" s="16"/>
    </row>
    <row r="2361" spans="4:4">
      <c r="D2361" s="16"/>
    </row>
    <row r="2362" spans="4:4">
      <c r="D2362" s="16"/>
    </row>
    <row r="2363" spans="4:4">
      <c r="D2363" s="16"/>
    </row>
    <row r="2364" spans="4:4">
      <c r="D2364" s="16"/>
    </row>
    <row r="2365" spans="4:4">
      <c r="D2365" s="16"/>
    </row>
    <row r="2366" spans="4:4">
      <c r="D2366" s="16"/>
    </row>
    <row r="2367" spans="4:4">
      <c r="D2367" s="16"/>
    </row>
    <row r="2368" spans="4:4">
      <c r="D2368" s="16"/>
    </row>
    <row r="2369" spans="4:4">
      <c r="D2369" s="16"/>
    </row>
    <row r="2370" spans="4:4">
      <c r="D2370" s="16"/>
    </row>
    <row r="2371" spans="4:4">
      <c r="D2371" s="16"/>
    </row>
    <row r="2372" spans="4:4">
      <c r="D2372" s="16"/>
    </row>
    <row r="2373" spans="4:4">
      <c r="D2373" s="16"/>
    </row>
    <row r="2374" spans="4:4">
      <c r="D2374" s="16"/>
    </row>
    <row r="2375" spans="4:4">
      <c r="D2375" s="16"/>
    </row>
    <row r="2376" spans="4:4">
      <c r="D2376" s="16"/>
    </row>
    <row r="2377" spans="4:4">
      <c r="D2377" s="16"/>
    </row>
    <row r="2378" spans="4:4">
      <c r="D2378" s="16"/>
    </row>
    <row r="2379" spans="4:4">
      <c r="D2379" s="16"/>
    </row>
    <row r="2380" spans="4:4">
      <c r="D2380" s="16"/>
    </row>
    <row r="2381" spans="4:4">
      <c r="D2381" s="16"/>
    </row>
    <row r="2382" spans="4:4">
      <c r="D2382" s="16"/>
    </row>
    <row r="2383" spans="4:4">
      <c r="D2383" s="16"/>
    </row>
    <row r="2384" spans="4:4">
      <c r="D2384" s="16"/>
    </row>
    <row r="2385" spans="4:4">
      <c r="D2385" s="16"/>
    </row>
    <row r="2386" spans="4:4">
      <c r="D2386" s="16"/>
    </row>
    <row r="2387" spans="4:4">
      <c r="D2387" s="16"/>
    </row>
    <row r="2388" spans="4:4">
      <c r="D2388" s="16"/>
    </row>
    <row r="2389" spans="4:4">
      <c r="D2389" s="16"/>
    </row>
    <row r="2390" spans="4:4">
      <c r="D2390" s="16"/>
    </row>
    <row r="2391" spans="4:4">
      <c r="D2391" s="16"/>
    </row>
    <row r="2392" spans="4:4">
      <c r="D2392" s="16"/>
    </row>
    <row r="2393" spans="4:4">
      <c r="D2393" s="16"/>
    </row>
    <row r="2394" spans="4:4">
      <c r="D2394" s="16"/>
    </row>
    <row r="2395" spans="4:4">
      <c r="D2395" s="16"/>
    </row>
    <row r="2396" spans="4:4">
      <c r="D2396" s="16"/>
    </row>
    <row r="2397" spans="4:4">
      <c r="D2397" s="16"/>
    </row>
    <row r="2398" spans="4:4">
      <c r="D2398" s="16"/>
    </row>
    <row r="2399" spans="4:4">
      <c r="D2399" s="16"/>
    </row>
    <row r="2400" spans="4:4">
      <c r="D2400" s="16"/>
    </row>
    <row r="2401" spans="4:4">
      <c r="D2401" s="16"/>
    </row>
    <row r="2402" spans="4:4">
      <c r="D2402" s="16"/>
    </row>
    <row r="2403" spans="4:4">
      <c r="D2403" s="16"/>
    </row>
    <row r="2404" spans="4:4">
      <c r="D2404" s="16"/>
    </row>
    <row r="2405" spans="4:4">
      <c r="D2405" s="16"/>
    </row>
    <row r="2406" spans="4:4">
      <c r="D2406" s="16"/>
    </row>
    <row r="2407" spans="4:4">
      <c r="D2407" s="16"/>
    </row>
    <row r="2408" spans="4:4">
      <c r="D2408" s="16"/>
    </row>
    <row r="2409" spans="4:4">
      <c r="D2409" s="16"/>
    </row>
    <row r="2410" spans="4:4">
      <c r="D2410" s="16"/>
    </row>
    <row r="2411" spans="4:4">
      <c r="D2411" s="16"/>
    </row>
    <row r="2412" spans="4:4">
      <c r="D2412" s="16"/>
    </row>
    <row r="2413" spans="4:4">
      <c r="D2413" s="16"/>
    </row>
    <row r="2414" spans="4:4">
      <c r="D2414" s="16"/>
    </row>
    <row r="2415" spans="4:4">
      <c r="D2415" s="16"/>
    </row>
    <row r="2416" spans="4:4">
      <c r="D2416" s="16"/>
    </row>
    <row r="2417" spans="4:4">
      <c r="D2417" s="16"/>
    </row>
    <row r="2418" spans="4:4">
      <c r="D2418" s="16"/>
    </row>
    <row r="2419" spans="4:4">
      <c r="D2419" s="16"/>
    </row>
    <row r="2420" spans="4:4">
      <c r="D2420" s="16"/>
    </row>
    <row r="2421" spans="4:4">
      <c r="D2421" s="16"/>
    </row>
    <row r="2422" spans="4:4">
      <c r="D2422" s="16"/>
    </row>
    <row r="2423" spans="4:4">
      <c r="D2423" s="16"/>
    </row>
    <row r="2424" spans="4:4">
      <c r="D2424" s="16"/>
    </row>
    <row r="2425" spans="4:4">
      <c r="D2425" s="16"/>
    </row>
    <row r="2426" spans="4:4">
      <c r="D2426" s="16"/>
    </row>
    <row r="2427" spans="4:4">
      <c r="D2427" s="16"/>
    </row>
    <row r="2428" spans="4:4">
      <c r="D2428" s="16"/>
    </row>
    <row r="2429" spans="4:4">
      <c r="D2429" s="16"/>
    </row>
    <row r="2430" spans="4:4">
      <c r="D2430" s="16"/>
    </row>
    <row r="2431" spans="4:4">
      <c r="D2431" s="16"/>
    </row>
    <row r="2432" spans="4:4">
      <c r="D2432" s="16"/>
    </row>
    <row r="2433" spans="4:4">
      <c r="D2433" s="16"/>
    </row>
    <row r="2434" spans="4:4">
      <c r="D2434" s="16"/>
    </row>
    <row r="2435" spans="4:4">
      <c r="D2435" s="16"/>
    </row>
    <row r="2436" spans="4:4">
      <c r="D2436" s="16"/>
    </row>
    <row r="2437" spans="4:4">
      <c r="D2437" s="16"/>
    </row>
    <row r="2438" spans="4:4">
      <c r="D2438" s="16"/>
    </row>
    <row r="2439" spans="4:4">
      <c r="D2439" s="16"/>
    </row>
    <row r="2440" spans="4:4">
      <c r="D2440" s="16"/>
    </row>
    <row r="2441" spans="4:4">
      <c r="D2441" s="16"/>
    </row>
    <row r="2442" spans="4:4">
      <c r="D2442" s="16"/>
    </row>
    <row r="2443" spans="4:4">
      <c r="D2443" s="16"/>
    </row>
    <row r="2444" spans="4:4">
      <c r="D2444" s="16"/>
    </row>
    <row r="2445" spans="4:4">
      <c r="D2445" s="16"/>
    </row>
    <row r="2446" spans="4:4">
      <c r="D2446" s="16"/>
    </row>
    <row r="2447" spans="4:4">
      <c r="D2447" s="16"/>
    </row>
    <row r="2448" spans="4:4">
      <c r="D2448" s="16"/>
    </row>
    <row r="2449" spans="4:4">
      <c r="D2449" s="16"/>
    </row>
    <row r="2450" spans="4:4">
      <c r="D2450" s="16"/>
    </row>
    <row r="2451" spans="4:4">
      <c r="D2451" s="16"/>
    </row>
    <row r="2452" spans="4:4">
      <c r="D2452" s="16"/>
    </row>
    <row r="2453" spans="4:4">
      <c r="D2453" s="16"/>
    </row>
    <row r="2454" spans="4:4">
      <c r="D2454" s="16"/>
    </row>
    <row r="2455" spans="4:4">
      <c r="D2455" s="16"/>
    </row>
    <row r="2456" spans="4:4">
      <c r="D2456" s="16"/>
    </row>
    <row r="2457" spans="4:4">
      <c r="D2457" s="16"/>
    </row>
    <row r="2458" spans="4:4">
      <c r="D2458" s="16"/>
    </row>
    <row r="2459" spans="4:4">
      <c r="D2459" s="16"/>
    </row>
    <row r="2460" spans="4:4">
      <c r="D2460" s="16"/>
    </row>
    <row r="2461" spans="4:4">
      <c r="D2461" s="16"/>
    </row>
    <row r="2462" spans="4:4">
      <c r="D2462" s="16"/>
    </row>
    <row r="2463" spans="4:4">
      <c r="D2463" s="16"/>
    </row>
    <row r="2464" spans="4:4">
      <c r="D2464" s="16"/>
    </row>
    <row r="2465" spans="4:4">
      <c r="D2465" s="16"/>
    </row>
    <row r="2466" spans="4:4">
      <c r="D2466" s="16"/>
    </row>
    <row r="2467" spans="4:4">
      <c r="D2467" s="16"/>
    </row>
    <row r="2468" spans="4:4">
      <c r="D2468" s="16"/>
    </row>
    <row r="2469" spans="4:4">
      <c r="D2469" s="16"/>
    </row>
    <row r="2470" spans="4:4">
      <c r="D2470" s="16"/>
    </row>
    <row r="2471" spans="4:4">
      <c r="D2471" s="16"/>
    </row>
    <row r="2472" spans="4:4">
      <c r="D2472" s="16"/>
    </row>
    <row r="2473" spans="4:4">
      <c r="D2473" s="16"/>
    </row>
    <row r="2474" spans="4:4">
      <c r="D2474" s="16"/>
    </row>
    <row r="2475" spans="4:4">
      <c r="D2475" s="16"/>
    </row>
    <row r="2476" spans="4:4">
      <c r="D2476" s="16"/>
    </row>
    <row r="2477" spans="4:4">
      <c r="D2477" s="16"/>
    </row>
    <row r="2478" spans="4:4">
      <c r="D2478" s="16"/>
    </row>
    <row r="2479" spans="4:4">
      <c r="D2479" s="16"/>
    </row>
    <row r="2480" spans="4:4">
      <c r="D2480" s="16"/>
    </row>
    <row r="2481" spans="4:4">
      <c r="D2481" s="16"/>
    </row>
    <row r="2482" spans="4:4">
      <c r="D2482" s="16"/>
    </row>
    <row r="2483" spans="4:4">
      <c r="D2483" s="16"/>
    </row>
    <row r="2484" spans="4:4">
      <c r="D2484" s="16"/>
    </row>
    <row r="2485" spans="4:4">
      <c r="D2485" s="16"/>
    </row>
    <row r="2486" spans="4:4">
      <c r="D2486" s="16"/>
    </row>
    <row r="2487" spans="4:4">
      <c r="D2487" s="16"/>
    </row>
    <row r="2488" spans="4:4">
      <c r="D2488" s="16"/>
    </row>
    <row r="2489" spans="4:4">
      <c r="D2489" s="16"/>
    </row>
    <row r="2490" spans="4:4">
      <c r="D2490" s="16"/>
    </row>
    <row r="2491" spans="4:4">
      <c r="D2491" s="16"/>
    </row>
    <row r="2492" spans="4:4">
      <c r="D2492" s="16"/>
    </row>
    <row r="2493" spans="4:4">
      <c r="D2493" s="16"/>
    </row>
    <row r="2494" spans="4:4">
      <c r="D2494" s="16"/>
    </row>
    <row r="2495" spans="4:4">
      <c r="D2495" s="16"/>
    </row>
    <row r="2496" spans="4:4">
      <c r="D2496" s="16"/>
    </row>
    <row r="2497" spans="4:4">
      <c r="D2497" s="16"/>
    </row>
    <row r="2498" spans="4:4">
      <c r="D2498" s="16"/>
    </row>
    <row r="2499" spans="4:4">
      <c r="D2499" s="16"/>
    </row>
    <row r="2500" spans="4:4">
      <c r="D2500" s="16"/>
    </row>
    <row r="2501" spans="4:4">
      <c r="D2501" s="16"/>
    </row>
    <row r="2502" spans="4:4">
      <c r="D2502" s="16"/>
    </row>
    <row r="2503" spans="4:4">
      <c r="D2503" s="16"/>
    </row>
    <row r="2504" spans="4:4">
      <c r="D2504" s="16"/>
    </row>
    <row r="2505" spans="4:4">
      <c r="D2505" s="16"/>
    </row>
    <row r="2506" spans="4:4">
      <c r="D2506" s="16"/>
    </row>
    <row r="2507" spans="4:4">
      <c r="D2507" s="16"/>
    </row>
    <row r="2508" spans="4:4">
      <c r="D2508" s="16"/>
    </row>
    <row r="2509" spans="4:4">
      <c r="D2509" s="16"/>
    </row>
    <row r="2510" spans="4:4">
      <c r="D2510" s="16"/>
    </row>
    <row r="2511" spans="4:4">
      <c r="D2511" s="16"/>
    </row>
    <row r="2512" spans="4:4">
      <c r="D2512" s="16"/>
    </row>
    <row r="2513" spans="4:4">
      <c r="D2513" s="16"/>
    </row>
    <row r="2514" spans="4:4">
      <c r="D2514" s="16"/>
    </row>
    <row r="2515" spans="4:4">
      <c r="D2515" s="16"/>
    </row>
    <row r="2516" spans="4:4">
      <c r="D2516" s="16"/>
    </row>
    <row r="2517" spans="4:4">
      <c r="D2517" s="16"/>
    </row>
    <row r="2518" spans="4:4">
      <c r="D2518" s="16"/>
    </row>
    <row r="2519" spans="4:4">
      <c r="D2519" s="16"/>
    </row>
    <row r="2520" spans="4:4">
      <c r="D2520" s="16"/>
    </row>
    <row r="2521" spans="4:4">
      <c r="D2521" s="16"/>
    </row>
    <row r="2522" spans="4:4">
      <c r="D2522" s="16"/>
    </row>
    <row r="2523" spans="4:4">
      <c r="D2523" s="16"/>
    </row>
    <row r="2524" spans="4:4">
      <c r="D2524" s="16"/>
    </row>
    <row r="2525" spans="4:4">
      <c r="D2525" s="16"/>
    </row>
    <row r="2526" spans="4:4">
      <c r="D2526" s="16"/>
    </row>
    <row r="2527" spans="4:4">
      <c r="D2527" s="16"/>
    </row>
    <row r="2528" spans="4:4">
      <c r="D2528" s="16"/>
    </row>
    <row r="2529" spans="4:4">
      <c r="D2529" s="16"/>
    </row>
    <row r="2530" spans="4:4">
      <c r="D2530" s="16"/>
    </row>
    <row r="2531" spans="4:4">
      <c r="D2531" s="16"/>
    </row>
    <row r="2532" spans="4:4">
      <c r="D2532" s="16"/>
    </row>
    <row r="2533" spans="4:4">
      <c r="D2533" s="16"/>
    </row>
    <row r="2534" spans="4:4">
      <c r="D2534" s="16"/>
    </row>
    <row r="2535" spans="4:4">
      <c r="D2535" s="16"/>
    </row>
    <row r="2536" spans="4:4">
      <c r="D2536" s="16"/>
    </row>
    <row r="2537" spans="4:4">
      <c r="D2537" s="16"/>
    </row>
    <row r="2538" spans="4:4">
      <c r="D2538" s="16"/>
    </row>
    <row r="2539" spans="4:4">
      <c r="D2539" s="16"/>
    </row>
    <row r="2540" spans="4:4">
      <c r="D2540" s="16"/>
    </row>
    <row r="2541" spans="4:4">
      <c r="D2541" s="16"/>
    </row>
    <row r="2542" spans="4:4">
      <c r="D2542" s="16"/>
    </row>
    <row r="2543" spans="4:4">
      <c r="D2543" s="16"/>
    </row>
    <row r="2544" spans="4:4">
      <c r="D2544" s="16"/>
    </row>
    <row r="2545" spans="4:4">
      <c r="D2545" s="16"/>
    </row>
    <row r="2546" spans="4:4">
      <c r="D2546" s="16"/>
    </row>
    <row r="2547" spans="4:4">
      <c r="D2547" s="16"/>
    </row>
    <row r="2548" spans="4:4">
      <c r="D2548" s="16"/>
    </row>
    <row r="2549" spans="4:4">
      <c r="D2549" s="16"/>
    </row>
    <row r="2550" spans="4:4">
      <c r="D2550" s="16"/>
    </row>
    <row r="2551" spans="4:4">
      <c r="D2551" s="16"/>
    </row>
    <row r="2552" spans="4:4">
      <c r="D2552" s="16"/>
    </row>
    <row r="2553" spans="4:4">
      <c r="D2553" s="16"/>
    </row>
    <row r="2554" spans="4:4">
      <c r="D2554" s="16"/>
    </row>
    <row r="2555" spans="4:4">
      <c r="D2555" s="16"/>
    </row>
    <row r="2556" spans="4:4">
      <c r="D2556" s="16"/>
    </row>
    <row r="2557" spans="4:4">
      <c r="D2557" s="16"/>
    </row>
    <row r="2558" spans="4:4">
      <c r="D2558" s="16"/>
    </row>
    <row r="2559" spans="4:4">
      <c r="D2559" s="16"/>
    </row>
    <row r="2560" spans="4:4">
      <c r="D2560" s="16"/>
    </row>
    <row r="2561" spans="4:4">
      <c r="D2561" s="16"/>
    </row>
    <row r="2562" spans="4:4">
      <c r="D2562" s="16"/>
    </row>
    <row r="2563" spans="4:4">
      <c r="D2563" s="16"/>
    </row>
    <row r="2564" spans="4:4">
      <c r="D2564" s="16"/>
    </row>
    <row r="2565" spans="4:4">
      <c r="D2565" s="16"/>
    </row>
    <row r="2566" spans="4:4">
      <c r="D2566" s="16"/>
    </row>
    <row r="2567" spans="4:4">
      <c r="D2567" s="16"/>
    </row>
    <row r="2568" spans="4:4">
      <c r="D2568" s="16"/>
    </row>
    <row r="2569" spans="4:4">
      <c r="D2569" s="16"/>
    </row>
    <row r="2570" spans="4:4">
      <c r="D2570" s="16"/>
    </row>
    <row r="2571" spans="4:4">
      <c r="D2571" s="16"/>
    </row>
    <row r="2572" spans="4:4">
      <c r="D2572" s="16"/>
    </row>
    <row r="2573" spans="4:4">
      <c r="D2573" s="16"/>
    </row>
    <row r="2574" spans="4:4">
      <c r="D2574" s="16"/>
    </row>
    <row r="2575" spans="4:4">
      <c r="D2575" s="16"/>
    </row>
    <row r="2576" spans="4:4">
      <c r="D2576" s="16"/>
    </row>
    <row r="2577" spans="4:4">
      <c r="D2577" s="16"/>
    </row>
    <row r="2578" spans="4:4">
      <c r="D2578" s="16"/>
    </row>
    <row r="2579" spans="4:4">
      <c r="D2579" s="16"/>
    </row>
    <row r="2580" spans="4:4">
      <c r="D2580" s="16"/>
    </row>
    <row r="2581" spans="4:4">
      <c r="D2581" s="16"/>
    </row>
    <row r="2582" spans="4:4">
      <c r="D2582" s="16"/>
    </row>
    <row r="2583" spans="4:4">
      <c r="D2583" s="16"/>
    </row>
    <row r="2584" spans="4:4">
      <c r="D2584" s="16"/>
    </row>
    <row r="2585" spans="4:4">
      <c r="D2585" s="16"/>
    </row>
    <row r="2586" spans="4:4">
      <c r="D2586" s="16"/>
    </row>
    <row r="2587" spans="4:4">
      <c r="D2587" s="16"/>
    </row>
    <row r="2588" spans="4:4">
      <c r="D2588" s="16"/>
    </row>
    <row r="2589" spans="4:4">
      <c r="D2589" s="16"/>
    </row>
    <row r="2590" spans="4:4">
      <c r="D2590" s="16"/>
    </row>
    <row r="2591" spans="4:4">
      <c r="D2591" s="16"/>
    </row>
    <row r="2592" spans="4:4">
      <c r="D2592" s="16"/>
    </row>
    <row r="2593" spans="4:4">
      <c r="D2593" s="16"/>
    </row>
    <row r="2594" spans="4:4">
      <c r="D2594" s="16"/>
    </row>
    <row r="2595" spans="4:4">
      <c r="D2595" s="16"/>
    </row>
    <row r="2596" spans="4:4">
      <c r="D2596" s="16"/>
    </row>
    <row r="2597" spans="4:4">
      <c r="D2597" s="16"/>
    </row>
    <row r="2598" spans="4:4">
      <c r="D2598" s="16"/>
    </row>
    <row r="2599" spans="4:4">
      <c r="D2599" s="16"/>
    </row>
    <row r="2600" spans="4:4">
      <c r="D2600" s="16"/>
    </row>
    <row r="2601" spans="4:4">
      <c r="D2601" s="16"/>
    </row>
    <row r="2602" spans="4:4">
      <c r="D2602" s="16"/>
    </row>
    <row r="2603" spans="4:4">
      <c r="D2603" s="16"/>
    </row>
    <row r="2604" spans="4:4">
      <c r="D2604" s="16"/>
    </row>
    <row r="2605" spans="4:4">
      <c r="D2605" s="16"/>
    </row>
    <row r="2606" spans="4:4">
      <c r="D2606" s="16"/>
    </row>
    <row r="2607" spans="4:4">
      <c r="D2607" s="16"/>
    </row>
    <row r="2608" spans="4:4">
      <c r="D2608" s="16"/>
    </row>
    <row r="2609" spans="4:4">
      <c r="D2609" s="16"/>
    </row>
    <row r="2610" spans="4:4">
      <c r="D2610" s="16"/>
    </row>
    <row r="2611" spans="4:4">
      <c r="D2611" s="16"/>
    </row>
    <row r="2612" spans="4:4">
      <c r="D2612" s="16"/>
    </row>
    <row r="2613" spans="4:4">
      <c r="D2613" s="16"/>
    </row>
    <row r="2614" spans="4:4">
      <c r="D2614" s="16"/>
    </row>
    <row r="2615" spans="4:4">
      <c r="D2615" s="16"/>
    </row>
    <row r="2616" spans="4:4">
      <c r="D2616" s="16"/>
    </row>
    <row r="2617" spans="4:4">
      <c r="D2617" s="16"/>
    </row>
    <row r="2618" spans="4:4">
      <c r="D2618" s="16"/>
    </row>
    <row r="2619" spans="4:4">
      <c r="D2619" s="16"/>
    </row>
    <row r="2620" spans="4:4">
      <c r="D2620" s="16"/>
    </row>
    <row r="2621" spans="4:4">
      <c r="D2621" s="16"/>
    </row>
    <row r="2622" spans="4:4">
      <c r="D2622" s="16"/>
    </row>
    <row r="2623" spans="4:4">
      <c r="D2623" s="16"/>
    </row>
    <row r="2624" spans="4:4">
      <c r="D2624" s="16"/>
    </row>
    <row r="2625" spans="4:4">
      <c r="D2625" s="16"/>
    </row>
    <row r="2626" spans="4:4">
      <c r="D2626" s="16"/>
    </row>
    <row r="2627" spans="4:4">
      <c r="D2627" s="16"/>
    </row>
    <row r="2628" spans="4:4">
      <c r="D2628" s="16"/>
    </row>
    <row r="2629" spans="4:4">
      <c r="D2629" s="16"/>
    </row>
    <row r="2630" spans="4:4">
      <c r="D2630" s="16"/>
    </row>
    <row r="2631" spans="4:4">
      <c r="D2631" s="16"/>
    </row>
    <row r="2632" spans="4:4">
      <c r="D2632" s="16"/>
    </row>
    <row r="2633" spans="4:4">
      <c r="D2633" s="16"/>
    </row>
    <row r="2634" spans="4:4">
      <c r="D2634" s="16"/>
    </row>
    <row r="2635" spans="4:4">
      <c r="D2635" s="16"/>
    </row>
    <row r="2636" spans="4:4">
      <c r="D2636" s="16"/>
    </row>
    <row r="2637" spans="4:4">
      <c r="D2637" s="16"/>
    </row>
    <row r="2638" spans="4:4">
      <c r="D2638" s="16"/>
    </row>
    <row r="2639" spans="4:4">
      <c r="D2639" s="16"/>
    </row>
    <row r="2640" spans="4:4">
      <c r="D2640" s="16"/>
    </row>
    <row r="2641" spans="4:4">
      <c r="D2641" s="16"/>
    </row>
    <row r="2642" spans="4:4">
      <c r="D2642" s="16"/>
    </row>
    <row r="2643" spans="4:4">
      <c r="D2643" s="16"/>
    </row>
    <row r="2644" spans="4:4">
      <c r="D2644" s="16"/>
    </row>
    <row r="2645" spans="4:4">
      <c r="D2645" s="16"/>
    </row>
    <row r="2646" spans="4:4">
      <c r="D2646" s="16"/>
    </row>
    <row r="2647" spans="4:4">
      <c r="D2647" s="16"/>
    </row>
    <row r="2648" spans="4:4">
      <c r="D2648" s="16"/>
    </row>
    <row r="2649" spans="4:4">
      <c r="D2649" s="16"/>
    </row>
    <row r="2650" spans="4:4">
      <c r="D2650" s="16"/>
    </row>
    <row r="2651" spans="4:4">
      <c r="D2651" s="16"/>
    </row>
    <row r="2652" spans="4:4">
      <c r="D2652" s="16"/>
    </row>
    <row r="2653" spans="4:4">
      <c r="D2653" s="16"/>
    </row>
    <row r="2654" spans="4:4">
      <c r="D2654" s="16"/>
    </row>
    <row r="2655" spans="4:4">
      <c r="D2655" s="16"/>
    </row>
    <row r="2656" spans="4:4">
      <c r="D2656" s="16"/>
    </row>
    <row r="2657" spans="4:4">
      <c r="D2657" s="16"/>
    </row>
    <row r="2658" spans="4:4">
      <c r="D2658" s="16"/>
    </row>
    <row r="2659" spans="4:4">
      <c r="D2659" s="16"/>
    </row>
    <row r="2660" spans="4:4">
      <c r="D2660" s="16"/>
    </row>
    <row r="2661" spans="4:4">
      <c r="D2661" s="16"/>
    </row>
    <row r="2662" spans="4:4">
      <c r="D2662" s="16"/>
    </row>
    <row r="2663" spans="4:4">
      <c r="D2663" s="16"/>
    </row>
    <row r="2664" spans="4:4">
      <c r="D2664" s="16"/>
    </row>
    <row r="2665" spans="4:4">
      <c r="D2665" s="16"/>
    </row>
    <row r="2666" spans="4:4">
      <c r="D2666" s="16"/>
    </row>
    <row r="2667" spans="4:4">
      <c r="D2667" s="16"/>
    </row>
    <row r="2668" spans="4:4">
      <c r="D2668" s="16"/>
    </row>
    <row r="2669" spans="4:4">
      <c r="D2669" s="16"/>
    </row>
    <row r="2670" spans="4:4">
      <c r="D2670" s="16"/>
    </row>
    <row r="2671" spans="4:4">
      <c r="D2671" s="16"/>
    </row>
    <row r="2672" spans="4:4">
      <c r="D2672" s="16"/>
    </row>
    <row r="2673" spans="4:4">
      <c r="D2673" s="16"/>
    </row>
    <row r="2674" spans="4:4">
      <c r="D2674" s="16"/>
    </row>
    <row r="2675" spans="4:4">
      <c r="D2675" s="16"/>
    </row>
    <row r="2676" spans="4:4">
      <c r="D2676" s="16"/>
    </row>
    <row r="2677" spans="4:4">
      <c r="D2677" s="16"/>
    </row>
    <row r="2678" spans="4:4">
      <c r="D2678" s="16"/>
    </row>
    <row r="2679" spans="4:4">
      <c r="D2679" s="16"/>
    </row>
    <row r="2680" spans="4:4">
      <c r="D2680" s="16"/>
    </row>
    <row r="2681" spans="4:4">
      <c r="D2681" s="16"/>
    </row>
    <row r="2682" spans="4:4">
      <c r="D2682" s="16"/>
    </row>
    <row r="2683" spans="4:4">
      <c r="D2683" s="16"/>
    </row>
    <row r="2684" spans="4:4">
      <c r="D2684" s="16"/>
    </row>
    <row r="2685" spans="4:4">
      <c r="D2685" s="16"/>
    </row>
    <row r="2686" spans="4:4">
      <c r="D2686" s="16"/>
    </row>
    <row r="2687" spans="4:4">
      <c r="D2687" s="16"/>
    </row>
    <row r="2688" spans="4:4">
      <c r="D2688" s="16"/>
    </row>
    <row r="2689" spans="4:4">
      <c r="D2689" s="16"/>
    </row>
    <row r="2690" spans="4:4">
      <c r="D2690" s="16"/>
    </row>
    <row r="2691" spans="4:4">
      <c r="D2691" s="16"/>
    </row>
    <row r="2692" spans="4:4">
      <c r="D2692" s="16"/>
    </row>
    <row r="2693" spans="4:4">
      <c r="D2693" s="16"/>
    </row>
    <row r="2694" spans="4:4">
      <c r="D2694" s="16"/>
    </row>
    <row r="2695" spans="4:4">
      <c r="D2695" s="16"/>
    </row>
    <row r="2696" spans="4:4">
      <c r="D2696" s="16"/>
    </row>
    <row r="2697" spans="4:4">
      <c r="D2697" s="16"/>
    </row>
    <row r="2698" spans="4:4">
      <c r="D2698" s="16"/>
    </row>
    <row r="2699" spans="4:4">
      <c r="D2699" s="16"/>
    </row>
    <row r="2700" spans="4:4">
      <c r="D2700" s="16"/>
    </row>
    <row r="2701" spans="4:4">
      <c r="D2701" s="16"/>
    </row>
    <row r="2702" spans="4:4">
      <c r="D2702" s="16"/>
    </row>
    <row r="2703" spans="4:4">
      <c r="D2703" s="16"/>
    </row>
    <row r="2704" spans="4:4">
      <c r="D2704" s="16"/>
    </row>
    <row r="2705" spans="4:4">
      <c r="D2705" s="16"/>
    </row>
    <row r="2706" spans="4:4">
      <c r="D2706" s="16"/>
    </row>
    <row r="2707" spans="4:4">
      <c r="D2707" s="16"/>
    </row>
    <row r="2708" spans="4:4">
      <c r="D2708" s="16"/>
    </row>
    <row r="2709" spans="4:4">
      <c r="D2709" s="16"/>
    </row>
    <row r="2710" spans="4:4">
      <c r="D2710" s="16"/>
    </row>
    <row r="2711" spans="4:4">
      <c r="D2711" s="16"/>
    </row>
    <row r="2712" spans="4:4">
      <c r="D2712" s="16"/>
    </row>
    <row r="2713" spans="4:4">
      <c r="D2713" s="16"/>
    </row>
    <row r="2714" spans="4:4">
      <c r="D2714" s="16"/>
    </row>
    <row r="2715" spans="4:4">
      <c r="D2715" s="16"/>
    </row>
    <row r="2716" spans="4:4">
      <c r="D2716" s="16"/>
    </row>
    <row r="2717" spans="4:4">
      <c r="D2717" s="16"/>
    </row>
    <row r="2718" spans="4:4">
      <c r="D2718" s="16"/>
    </row>
    <row r="2719" spans="4:4">
      <c r="D2719" s="16"/>
    </row>
    <row r="2720" spans="4:4">
      <c r="D2720" s="16"/>
    </row>
    <row r="2721" spans="4:4">
      <c r="D2721" s="16"/>
    </row>
    <row r="2722" spans="4:4">
      <c r="D2722" s="16"/>
    </row>
    <row r="2723" spans="4:4">
      <c r="D2723" s="16"/>
    </row>
    <row r="2724" spans="4:4">
      <c r="D2724" s="16"/>
    </row>
    <row r="2725" spans="4:4">
      <c r="D2725" s="16"/>
    </row>
    <row r="2726" spans="4:4">
      <c r="D2726" s="16"/>
    </row>
    <row r="2727" spans="4:4">
      <c r="D2727" s="16"/>
    </row>
    <row r="2728" spans="4:4">
      <c r="D2728" s="16"/>
    </row>
    <row r="2729" spans="4:4">
      <c r="D2729" s="16"/>
    </row>
    <row r="2730" spans="4:4">
      <c r="D2730" s="16"/>
    </row>
    <row r="2731" spans="4:4">
      <c r="D2731" s="16"/>
    </row>
    <row r="2732" spans="4:4">
      <c r="D2732" s="16"/>
    </row>
    <row r="2733" spans="4:4">
      <c r="D2733" s="16"/>
    </row>
    <row r="2734" spans="4:4">
      <c r="D2734" s="16"/>
    </row>
    <row r="2735" spans="4:4">
      <c r="D2735" s="16"/>
    </row>
    <row r="2736" spans="4:4">
      <c r="D2736" s="16"/>
    </row>
    <row r="2737" spans="4:4">
      <c r="D2737" s="16"/>
    </row>
    <row r="2738" spans="4:4">
      <c r="D2738" s="16"/>
    </row>
    <row r="2739" spans="4:4">
      <c r="D2739" s="16"/>
    </row>
    <row r="2740" spans="4:4">
      <c r="D2740" s="16"/>
    </row>
    <row r="2741" spans="4:4">
      <c r="D2741" s="16"/>
    </row>
    <row r="2742" spans="4:4">
      <c r="D2742" s="16"/>
    </row>
    <row r="2743" spans="4:4">
      <c r="D2743" s="16"/>
    </row>
    <row r="2744" spans="4:4">
      <c r="D2744" s="16"/>
    </row>
    <row r="2745" spans="4:4">
      <c r="D2745" s="16"/>
    </row>
    <row r="2746" spans="4:4">
      <c r="D2746" s="16"/>
    </row>
    <row r="2747" spans="4:4">
      <c r="D2747" s="16"/>
    </row>
    <row r="2748" spans="4:4">
      <c r="D2748" s="16"/>
    </row>
    <row r="2749" spans="4:4">
      <c r="D2749" s="16"/>
    </row>
    <row r="2750" spans="4:4">
      <c r="D2750" s="16"/>
    </row>
    <row r="2751" spans="4:4">
      <c r="D2751" s="16"/>
    </row>
    <row r="2752" spans="4:4">
      <c r="D2752" s="16"/>
    </row>
    <row r="2753" spans="4:4">
      <c r="D2753" s="16"/>
    </row>
    <row r="2754" spans="4:4">
      <c r="D2754" s="16"/>
    </row>
    <row r="2755" spans="4:4">
      <c r="D2755" s="16"/>
    </row>
    <row r="2756" spans="4:4">
      <c r="D2756" s="16"/>
    </row>
    <row r="2757" spans="4:4">
      <c r="D2757" s="16"/>
    </row>
    <row r="2758" spans="4:4">
      <c r="D2758" s="16"/>
    </row>
    <row r="2759" spans="4:4">
      <c r="D2759" s="16"/>
    </row>
    <row r="2760" spans="4:4">
      <c r="D2760" s="16"/>
    </row>
    <row r="2761" spans="4:4">
      <c r="D2761" s="16"/>
    </row>
    <row r="2762" spans="4:4">
      <c r="D2762" s="16"/>
    </row>
    <row r="2763" spans="4:4">
      <c r="D2763" s="16"/>
    </row>
    <row r="2764" spans="4:4">
      <c r="D2764" s="16"/>
    </row>
    <row r="2765" spans="4:4">
      <c r="D2765" s="16"/>
    </row>
    <row r="2766" spans="4:4">
      <c r="D2766" s="16"/>
    </row>
    <row r="2767" spans="4:4">
      <c r="D2767" s="16"/>
    </row>
    <row r="2768" spans="4:4">
      <c r="D2768" s="16"/>
    </row>
    <row r="2769" spans="4:4">
      <c r="D2769" s="16"/>
    </row>
    <row r="2770" spans="4:4">
      <c r="D2770" s="16"/>
    </row>
    <row r="2771" spans="4:4">
      <c r="D2771" s="16"/>
    </row>
    <row r="2772" spans="4:4">
      <c r="D2772" s="16"/>
    </row>
    <row r="2773" spans="4:4">
      <c r="D2773" s="16"/>
    </row>
    <row r="2774" spans="4:4">
      <c r="D2774" s="16"/>
    </row>
    <row r="2775" spans="4:4">
      <c r="D2775" s="16"/>
    </row>
    <row r="2776" spans="4:4">
      <c r="D2776" s="16"/>
    </row>
    <row r="2777" spans="4:4">
      <c r="D2777" s="16"/>
    </row>
    <row r="2778" spans="4:4">
      <c r="D2778" s="16"/>
    </row>
    <row r="2779" spans="4:4">
      <c r="D2779" s="16"/>
    </row>
    <row r="2780" spans="4:4">
      <c r="D2780" s="16"/>
    </row>
    <row r="2781" spans="4:4">
      <c r="D2781" s="16"/>
    </row>
    <row r="2782" spans="4:4">
      <c r="D2782" s="16"/>
    </row>
    <row r="2783" spans="4:4">
      <c r="D2783" s="16"/>
    </row>
    <row r="2784" spans="4:4">
      <c r="D2784" s="16"/>
    </row>
    <row r="2785" spans="4:4">
      <c r="D2785" s="16"/>
    </row>
    <row r="2786" spans="4:4">
      <c r="D2786" s="16"/>
    </row>
    <row r="2787" spans="4:4">
      <c r="D2787" s="16"/>
    </row>
    <row r="2788" spans="4:4">
      <c r="D2788" s="16"/>
    </row>
    <row r="2789" spans="4:4">
      <c r="D2789" s="16"/>
    </row>
    <row r="2790" spans="4:4">
      <c r="D2790" s="16"/>
    </row>
    <row r="2791" spans="4:4">
      <c r="D2791" s="16"/>
    </row>
    <row r="2792" spans="4:4">
      <c r="D2792" s="16"/>
    </row>
    <row r="2793" spans="4:4">
      <c r="D2793" s="16"/>
    </row>
    <row r="2794" spans="4:4">
      <c r="D2794" s="16"/>
    </row>
    <row r="2795" spans="4:4">
      <c r="D2795" s="16"/>
    </row>
    <row r="2796" spans="4:4">
      <c r="D2796" s="16"/>
    </row>
    <row r="2797" spans="4:4">
      <c r="D2797" s="16"/>
    </row>
    <row r="2798" spans="4:4">
      <c r="D2798" s="16"/>
    </row>
    <row r="2799" spans="4:4">
      <c r="D2799" s="16"/>
    </row>
    <row r="2800" spans="4:4">
      <c r="D2800" s="16"/>
    </row>
    <row r="2801" spans="4:4">
      <c r="D2801" s="16"/>
    </row>
    <row r="2802" spans="4:4">
      <c r="D2802" s="16"/>
    </row>
    <row r="2803" spans="4:4">
      <c r="D2803" s="16"/>
    </row>
    <row r="2804" spans="4:4">
      <c r="D2804" s="16"/>
    </row>
    <row r="2805" spans="4:4">
      <c r="D2805" s="16"/>
    </row>
    <row r="2806" spans="4:4">
      <c r="D2806" s="16"/>
    </row>
    <row r="2807" spans="4:4">
      <c r="D2807" s="16"/>
    </row>
    <row r="2808" spans="4:4">
      <c r="D2808" s="16"/>
    </row>
    <row r="2809" spans="4:4">
      <c r="D2809" s="16"/>
    </row>
    <row r="2810" spans="4:4">
      <c r="D2810" s="16"/>
    </row>
    <row r="2811" spans="4:4">
      <c r="D2811" s="16"/>
    </row>
    <row r="2812" spans="4:4">
      <c r="D2812" s="16"/>
    </row>
    <row r="2813" spans="4:4">
      <c r="D2813" s="16"/>
    </row>
    <row r="2814" spans="4:4">
      <c r="D2814" s="16"/>
    </row>
    <row r="2815" spans="4:4">
      <c r="D2815" s="16"/>
    </row>
    <row r="2816" spans="4:4">
      <c r="D2816" s="16"/>
    </row>
    <row r="2817" spans="4:4">
      <c r="D2817" s="16"/>
    </row>
    <row r="2818" spans="4:4">
      <c r="D2818" s="16"/>
    </row>
    <row r="2819" spans="4:4">
      <c r="D2819" s="16"/>
    </row>
    <row r="2820" spans="4:4">
      <c r="D2820" s="16"/>
    </row>
    <row r="2821" spans="4:4">
      <c r="D2821" s="16"/>
    </row>
    <row r="2822" spans="4:4">
      <c r="D2822" s="16"/>
    </row>
    <row r="2823" spans="4:4">
      <c r="D2823" s="16"/>
    </row>
    <row r="2824" spans="4:4">
      <c r="D2824" s="16"/>
    </row>
    <row r="2825" spans="4:4">
      <c r="D2825" s="16"/>
    </row>
    <row r="2826" spans="4:4">
      <c r="D2826" s="16"/>
    </row>
    <row r="2827" spans="4:4">
      <c r="D2827" s="16"/>
    </row>
    <row r="2828" spans="4:4">
      <c r="D2828" s="16"/>
    </row>
    <row r="2829" spans="4:4">
      <c r="D2829" s="16"/>
    </row>
    <row r="2830" spans="4:4">
      <c r="D2830" s="16"/>
    </row>
    <row r="2831" spans="4:4">
      <c r="D2831" s="16"/>
    </row>
    <row r="2832" spans="4:4">
      <c r="D2832" s="16"/>
    </row>
    <row r="2833" spans="4:4">
      <c r="D2833" s="16"/>
    </row>
    <row r="2834" spans="4:4">
      <c r="D2834" s="16"/>
    </row>
    <row r="2835" spans="4:4">
      <c r="D2835" s="16"/>
    </row>
    <row r="2836" spans="4:4">
      <c r="D2836" s="16"/>
    </row>
    <row r="2837" spans="4:4">
      <c r="D2837" s="16"/>
    </row>
    <row r="2838" spans="4:4">
      <c r="D2838" s="16"/>
    </row>
    <row r="2839" spans="4:4">
      <c r="D2839" s="16"/>
    </row>
    <row r="2840" spans="4:4">
      <c r="D2840" s="16"/>
    </row>
    <row r="2841" spans="4:4">
      <c r="D2841" s="16"/>
    </row>
    <row r="2842" spans="4:4">
      <c r="D2842" s="16"/>
    </row>
    <row r="2843" spans="4:4">
      <c r="D2843" s="16"/>
    </row>
    <row r="2844" spans="4:4">
      <c r="D2844" s="16"/>
    </row>
    <row r="2845" spans="4:4">
      <c r="D2845" s="16"/>
    </row>
    <row r="2846" spans="4:4">
      <c r="D2846" s="16"/>
    </row>
    <row r="2847" spans="4:4">
      <c r="D2847" s="16"/>
    </row>
    <row r="2848" spans="4:4">
      <c r="D2848" s="16"/>
    </row>
    <row r="2849" spans="4:4">
      <c r="D2849" s="16"/>
    </row>
    <row r="2850" spans="4:4">
      <c r="D2850" s="16"/>
    </row>
    <row r="2851" spans="4:4">
      <c r="D2851" s="16"/>
    </row>
    <row r="2852" spans="4:4">
      <c r="D2852" s="16"/>
    </row>
    <row r="2853" spans="4:4">
      <c r="D2853" s="16"/>
    </row>
    <row r="2854" spans="4:4">
      <c r="D2854" s="16"/>
    </row>
    <row r="2855" spans="4:4">
      <c r="D2855" s="16"/>
    </row>
    <row r="2856" spans="4:4">
      <c r="D2856" s="16"/>
    </row>
    <row r="2857" spans="4:4">
      <c r="D2857" s="16"/>
    </row>
    <row r="2858" spans="4:4">
      <c r="D2858" s="16"/>
    </row>
    <row r="2859" spans="4:4">
      <c r="D2859" s="16"/>
    </row>
    <row r="2860" spans="4:4">
      <c r="D2860" s="16"/>
    </row>
    <row r="2861" spans="4:4">
      <c r="D2861" s="16"/>
    </row>
    <row r="2862" spans="4:4">
      <c r="D2862" s="16"/>
    </row>
    <row r="2863" spans="4:4">
      <c r="D2863" s="16"/>
    </row>
    <row r="2864" spans="4:4">
      <c r="D2864" s="16"/>
    </row>
    <row r="2865" spans="4:4">
      <c r="D2865" s="16"/>
    </row>
    <row r="2866" spans="4:4">
      <c r="D2866" s="16"/>
    </row>
    <row r="2867" spans="4:4">
      <c r="D2867" s="16"/>
    </row>
    <row r="2868" spans="4:4">
      <c r="D2868" s="16"/>
    </row>
    <row r="2869" spans="4:4">
      <c r="D2869" s="16"/>
    </row>
    <row r="2870" spans="4:4">
      <c r="D2870" s="16"/>
    </row>
    <row r="2871" spans="4:4">
      <c r="D2871" s="16"/>
    </row>
    <row r="2872" spans="4:4">
      <c r="D2872" s="16"/>
    </row>
    <row r="2873" spans="4:4">
      <c r="D2873" s="16"/>
    </row>
    <row r="2874" spans="4:4">
      <c r="D2874" s="16"/>
    </row>
    <row r="2875" spans="4:4">
      <c r="D2875" s="16"/>
    </row>
    <row r="2876" spans="4:4">
      <c r="D2876" s="16"/>
    </row>
    <row r="2877" spans="4:4">
      <c r="D2877" s="16"/>
    </row>
    <row r="2878" spans="4:4">
      <c r="D2878" s="16"/>
    </row>
    <row r="2879" spans="4:4">
      <c r="D2879" s="16"/>
    </row>
    <row r="2880" spans="4:4">
      <c r="D2880" s="16"/>
    </row>
    <row r="2881" spans="4:4">
      <c r="D2881" s="16"/>
    </row>
    <row r="2882" spans="4:4">
      <c r="D2882" s="16"/>
    </row>
    <row r="2883" spans="4:4">
      <c r="D2883" s="16"/>
    </row>
    <row r="2884" spans="4:4">
      <c r="D2884" s="16"/>
    </row>
    <row r="2885" spans="4:4">
      <c r="D2885" s="16"/>
    </row>
    <row r="2886" spans="4:4">
      <c r="D2886" s="16"/>
    </row>
    <row r="2887" spans="4:4">
      <c r="D2887" s="16"/>
    </row>
    <row r="2888" spans="4:4">
      <c r="D2888" s="16"/>
    </row>
    <row r="2889" spans="4:4">
      <c r="D2889" s="16"/>
    </row>
    <row r="2890" spans="4:4">
      <c r="D2890" s="16"/>
    </row>
    <row r="2891" spans="4:4">
      <c r="D2891" s="16"/>
    </row>
    <row r="2892" spans="4:4">
      <c r="D2892" s="16"/>
    </row>
    <row r="2893" spans="4:4">
      <c r="D2893" s="16"/>
    </row>
    <row r="2894" spans="4:4">
      <c r="D2894" s="16"/>
    </row>
    <row r="2895" spans="4:4">
      <c r="D2895" s="16"/>
    </row>
    <row r="2896" spans="4:4">
      <c r="D2896" s="16"/>
    </row>
    <row r="2897" spans="4:4">
      <c r="D2897" s="16"/>
    </row>
    <row r="2898" spans="4:4">
      <c r="D2898" s="16"/>
    </row>
    <row r="2899" spans="4:4">
      <c r="D2899" s="16"/>
    </row>
    <row r="2900" spans="4:4">
      <c r="D2900" s="16"/>
    </row>
    <row r="2901" spans="4:4">
      <c r="D2901" s="16"/>
    </row>
    <row r="2902" spans="4:4">
      <c r="D2902" s="16"/>
    </row>
    <row r="2903" spans="4:4">
      <c r="D2903" s="16"/>
    </row>
    <row r="2904" spans="4:4">
      <c r="D2904" s="16"/>
    </row>
    <row r="2905" spans="4:4">
      <c r="D2905" s="16"/>
    </row>
    <row r="2906" spans="4:4">
      <c r="D2906" s="16"/>
    </row>
    <row r="2907" spans="4:4">
      <c r="D2907" s="16"/>
    </row>
    <row r="2908" spans="4:4">
      <c r="D2908" s="16"/>
    </row>
    <row r="2909" spans="4:4">
      <c r="D2909" s="16"/>
    </row>
    <row r="2910" spans="4:4">
      <c r="D2910" s="16"/>
    </row>
    <row r="2911" spans="4:4">
      <c r="D2911" s="16"/>
    </row>
    <row r="2912" spans="4:4">
      <c r="D2912" s="16"/>
    </row>
    <row r="2913" spans="4:4">
      <c r="D2913" s="16"/>
    </row>
    <row r="2914" spans="4:4">
      <c r="D2914" s="16"/>
    </row>
    <row r="2915" spans="4:4">
      <c r="D2915" s="16"/>
    </row>
    <row r="2916" spans="4:4">
      <c r="D2916" s="16"/>
    </row>
    <row r="2917" spans="4:4">
      <c r="D2917" s="16"/>
    </row>
    <row r="2918" spans="4:4">
      <c r="D2918" s="16"/>
    </row>
    <row r="2919" spans="4:4">
      <c r="D2919" s="16"/>
    </row>
    <row r="2920" spans="4:4">
      <c r="D2920" s="16"/>
    </row>
    <row r="2921" spans="4:4">
      <c r="D2921" s="16"/>
    </row>
    <row r="2922" spans="4:4">
      <c r="D2922" s="16"/>
    </row>
    <row r="2923" spans="4:4">
      <c r="D2923" s="16"/>
    </row>
    <row r="2924" spans="4:4">
      <c r="D2924" s="16"/>
    </row>
    <row r="2925" spans="4:4">
      <c r="D2925" s="16"/>
    </row>
    <row r="2926" spans="4:4">
      <c r="D2926" s="16"/>
    </row>
    <row r="2927" spans="4:4">
      <c r="D2927" s="16"/>
    </row>
    <row r="2928" spans="4:4">
      <c r="D2928" s="16"/>
    </row>
    <row r="2929" spans="4:4">
      <c r="D2929" s="16"/>
    </row>
    <row r="2930" spans="4:4">
      <c r="D2930" s="16"/>
    </row>
    <row r="2931" spans="4:4">
      <c r="D2931" s="16"/>
    </row>
    <row r="2932" spans="4:4">
      <c r="D2932" s="16"/>
    </row>
    <row r="2933" spans="4:4">
      <c r="D2933" s="16"/>
    </row>
    <row r="2934" spans="4:4">
      <c r="D2934" s="16"/>
    </row>
    <row r="2935" spans="4:4">
      <c r="D2935" s="16"/>
    </row>
    <row r="2936" spans="4:4">
      <c r="D2936" s="16"/>
    </row>
    <row r="2937" spans="4:4">
      <c r="D2937" s="16"/>
    </row>
    <row r="2938" spans="4:4">
      <c r="D2938" s="16"/>
    </row>
    <row r="2939" spans="4:4">
      <c r="D2939" s="16"/>
    </row>
    <row r="2940" spans="4:4">
      <c r="D2940" s="16"/>
    </row>
    <row r="2941" spans="4:4">
      <c r="D2941" s="16"/>
    </row>
    <row r="2942" spans="4:4">
      <c r="D2942" s="16"/>
    </row>
    <row r="2943" spans="4:4">
      <c r="D2943" s="16"/>
    </row>
    <row r="2944" spans="4:4">
      <c r="D2944" s="16"/>
    </row>
    <row r="2945" spans="4:4">
      <c r="D2945" s="16"/>
    </row>
    <row r="2946" spans="4:4">
      <c r="D2946" s="16"/>
    </row>
    <row r="2947" spans="4:4">
      <c r="D2947" s="16"/>
    </row>
    <row r="2948" spans="4:4">
      <c r="D2948" s="16"/>
    </row>
    <row r="2949" spans="4:4">
      <c r="D2949" s="16"/>
    </row>
    <row r="2950" spans="4:4">
      <c r="D2950" s="16"/>
    </row>
    <row r="2951" spans="4:4">
      <c r="D2951" s="16"/>
    </row>
    <row r="2952" spans="4:4">
      <c r="D2952" s="16"/>
    </row>
    <row r="2953" spans="4:4">
      <c r="D2953" s="16"/>
    </row>
    <row r="2954" spans="4:4">
      <c r="D2954" s="16"/>
    </row>
    <row r="2955" spans="4:4">
      <c r="D2955" s="16"/>
    </row>
    <row r="2956" spans="4:4">
      <c r="D2956" s="16"/>
    </row>
    <row r="2957" spans="4:4">
      <c r="D2957" s="16"/>
    </row>
    <row r="2958" spans="4:4">
      <c r="D2958" s="16"/>
    </row>
    <row r="2959" spans="4:4">
      <c r="D2959" s="16"/>
    </row>
    <row r="2960" spans="4:4">
      <c r="D2960" s="16"/>
    </row>
    <row r="2961" spans="4:4">
      <c r="D2961" s="16"/>
    </row>
    <row r="2962" spans="4:4">
      <c r="D2962" s="16"/>
    </row>
    <row r="2963" spans="4:4">
      <c r="D2963" s="16"/>
    </row>
    <row r="2964" spans="4:4">
      <c r="D2964" s="16"/>
    </row>
    <row r="2965" spans="4:4">
      <c r="D2965" s="16"/>
    </row>
    <row r="2966" spans="4:4">
      <c r="D2966" s="16"/>
    </row>
    <row r="2967" spans="4:4">
      <c r="D2967" s="16"/>
    </row>
    <row r="2968" spans="4:4">
      <c r="D2968" s="16"/>
    </row>
    <row r="2969" spans="4:4">
      <c r="D2969" s="16"/>
    </row>
    <row r="2970" spans="4:4">
      <c r="D2970" s="16"/>
    </row>
    <row r="2971" spans="4:4">
      <c r="D2971" s="16"/>
    </row>
    <row r="2972" spans="4:4">
      <c r="D2972" s="16"/>
    </row>
    <row r="2973" spans="4:4">
      <c r="D2973" s="16"/>
    </row>
    <row r="2974" spans="4:4">
      <c r="D2974" s="16"/>
    </row>
    <row r="2975" spans="4:4">
      <c r="D2975" s="16"/>
    </row>
    <row r="2976" spans="4:4">
      <c r="D2976" s="16"/>
    </row>
    <row r="2977" spans="4:4">
      <c r="D2977" s="16"/>
    </row>
    <row r="2978" spans="4:4">
      <c r="D2978" s="16"/>
    </row>
    <row r="2979" spans="4:4">
      <c r="D2979" s="16"/>
    </row>
    <row r="2980" spans="4:4">
      <c r="D2980" s="16"/>
    </row>
    <row r="2981" spans="4:4">
      <c r="D2981" s="16"/>
    </row>
    <row r="2982" spans="4:4">
      <c r="D2982" s="16"/>
    </row>
    <row r="2983" spans="4:4">
      <c r="D2983" s="16"/>
    </row>
    <row r="2984" spans="4:4">
      <c r="D2984" s="16"/>
    </row>
    <row r="2985" spans="4:4">
      <c r="D2985" s="16"/>
    </row>
    <row r="2986" spans="4:4">
      <c r="D2986" s="16"/>
    </row>
    <row r="2987" spans="4:4">
      <c r="D2987" s="16"/>
    </row>
    <row r="2988" spans="4:4">
      <c r="D2988" s="16"/>
    </row>
    <row r="2989" spans="4:4">
      <c r="D2989" s="16"/>
    </row>
    <row r="2990" spans="4:4">
      <c r="D2990" s="16"/>
    </row>
    <row r="2991" spans="4:4">
      <c r="D2991" s="16"/>
    </row>
    <row r="2992" spans="4:4">
      <c r="D2992" s="16"/>
    </row>
    <row r="2993" spans="4:4">
      <c r="D2993" s="16"/>
    </row>
    <row r="2994" spans="4:4">
      <c r="D2994" s="16"/>
    </row>
    <row r="2995" spans="4:4">
      <c r="D2995" s="16"/>
    </row>
    <row r="2996" spans="4:4">
      <c r="D2996" s="16"/>
    </row>
    <row r="2997" spans="4:4">
      <c r="D2997" s="16"/>
    </row>
    <row r="2998" spans="4:4">
      <c r="D2998" s="16"/>
    </row>
    <row r="2999" spans="4:4">
      <c r="D2999" s="16"/>
    </row>
    <row r="3000" spans="4:4">
      <c r="D3000" s="16"/>
    </row>
    <row r="3001" spans="4:4">
      <c r="D3001" s="16"/>
    </row>
    <row r="3002" spans="4:4">
      <c r="D3002" s="16"/>
    </row>
    <row r="3003" spans="4:4">
      <c r="D3003" s="16"/>
    </row>
    <row r="3004" spans="4:4">
      <c r="D3004" s="16"/>
    </row>
    <row r="3005" spans="4:4">
      <c r="D3005" s="16"/>
    </row>
    <row r="3006" spans="4:4">
      <c r="D3006" s="16"/>
    </row>
    <row r="3007" spans="4:4">
      <c r="D3007" s="16"/>
    </row>
    <row r="3008" spans="4:4">
      <c r="D3008" s="16"/>
    </row>
    <row r="3009" spans="4:4">
      <c r="D3009" s="16"/>
    </row>
    <row r="3010" spans="4:4">
      <c r="D3010" s="16"/>
    </row>
    <row r="3011" spans="4:4">
      <c r="D3011" s="16"/>
    </row>
    <row r="3012" spans="4:4">
      <c r="D3012" s="16"/>
    </row>
    <row r="3013" spans="4:4">
      <c r="D3013" s="16"/>
    </row>
    <row r="3014" spans="4:4">
      <c r="D3014" s="16"/>
    </row>
    <row r="3015" spans="4:4">
      <c r="D3015" s="16"/>
    </row>
    <row r="3016" spans="4:4">
      <c r="D3016" s="16"/>
    </row>
    <row r="3017" spans="4:4">
      <c r="D3017" s="16"/>
    </row>
    <row r="3018" spans="4:4">
      <c r="D3018" s="16"/>
    </row>
    <row r="3019" spans="4:4">
      <c r="D3019" s="16"/>
    </row>
    <row r="3020" spans="4:4">
      <c r="D3020" s="16"/>
    </row>
    <row r="3021" spans="4:4">
      <c r="D3021" s="16"/>
    </row>
    <row r="3022" spans="4:4">
      <c r="D3022" s="16"/>
    </row>
    <row r="3023" spans="4:4">
      <c r="D3023" s="16"/>
    </row>
    <row r="3024" spans="4:4">
      <c r="D3024" s="16"/>
    </row>
    <row r="3025" spans="4:4">
      <c r="D3025" s="16"/>
    </row>
    <row r="3026" spans="4:4">
      <c r="D3026" s="16"/>
    </row>
    <row r="3027" spans="4:4">
      <c r="D3027" s="16"/>
    </row>
    <row r="3028" spans="4:4">
      <c r="D3028" s="16"/>
    </row>
    <row r="3029" spans="4:4">
      <c r="D3029" s="16"/>
    </row>
    <row r="3030" spans="4:4">
      <c r="D3030" s="16"/>
    </row>
    <row r="3031" spans="4:4">
      <c r="D3031" s="16"/>
    </row>
    <row r="3032" spans="4:4">
      <c r="D3032" s="16"/>
    </row>
    <row r="3033" spans="4:4">
      <c r="D3033" s="16"/>
    </row>
    <row r="3034" spans="4:4">
      <c r="D3034" s="16"/>
    </row>
    <row r="3035" spans="4:4">
      <c r="D3035" s="16"/>
    </row>
    <row r="3036" spans="4:4">
      <c r="D3036" s="16"/>
    </row>
    <row r="3037" spans="4:4">
      <c r="D3037" s="16"/>
    </row>
    <row r="3038" spans="4:4">
      <c r="D3038" s="16"/>
    </row>
    <row r="3039" spans="4:4">
      <c r="D3039" s="16"/>
    </row>
    <row r="3040" spans="4:4">
      <c r="D3040" s="16"/>
    </row>
    <row r="3041" spans="4:4">
      <c r="D3041" s="16"/>
    </row>
    <row r="3042" spans="4:4">
      <c r="D3042" s="16"/>
    </row>
    <row r="3043" spans="4:4">
      <c r="D3043" s="16"/>
    </row>
    <row r="3044" spans="4:4">
      <c r="D3044" s="16"/>
    </row>
    <row r="3045" spans="4:4">
      <c r="D3045" s="16"/>
    </row>
    <row r="3046" spans="4:4">
      <c r="D3046" s="16"/>
    </row>
    <row r="3047" spans="4:4">
      <c r="D3047" s="16"/>
    </row>
    <row r="3048" spans="4:4">
      <c r="D3048" s="16"/>
    </row>
    <row r="3049" spans="4:4">
      <c r="D3049" s="16"/>
    </row>
    <row r="3050" spans="4:4">
      <c r="D3050" s="16"/>
    </row>
    <row r="3051" spans="4:4">
      <c r="D3051" s="16"/>
    </row>
    <row r="3052" spans="4:4">
      <c r="D3052" s="16"/>
    </row>
    <row r="3053" spans="4:4">
      <c r="D3053" s="16"/>
    </row>
    <row r="3054" spans="4:4">
      <c r="D3054" s="16"/>
    </row>
    <row r="3055" spans="4:4">
      <c r="D3055" s="16"/>
    </row>
    <row r="3056" spans="4:4">
      <c r="D3056" s="16"/>
    </row>
    <row r="3057" spans="4:4">
      <c r="D3057" s="16"/>
    </row>
    <row r="3058" spans="4:4">
      <c r="D3058" s="16"/>
    </row>
    <row r="3059" spans="4:4">
      <c r="D3059" s="16"/>
    </row>
    <row r="3060" spans="4:4">
      <c r="D3060" s="16"/>
    </row>
    <row r="3061" spans="4:4">
      <c r="D3061" s="16"/>
    </row>
    <row r="3062" spans="4:4">
      <c r="D3062" s="16"/>
    </row>
    <row r="3063" spans="4:4">
      <c r="D3063" s="16"/>
    </row>
    <row r="3064" spans="4:4">
      <c r="D3064" s="16"/>
    </row>
    <row r="3065" spans="4:4">
      <c r="D3065" s="16"/>
    </row>
    <row r="3066" spans="4:4">
      <c r="D3066" s="16"/>
    </row>
    <row r="3067" spans="4:4">
      <c r="D3067" s="16"/>
    </row>
    <row r="3068" spans="4:4">
      <c r="D3068" s="16"/>
    </row>
    <row r="3069" spans="4:4">
      <c r="D3069" s="16"/>
    </row>
    <row r="3070" spans="4:4">
      <c r="D3070" s="16"/>
    </row>
    <row r="3071" spans="4:4">
      <c r="D3071" s="16"/>
    </row>
    <row r="3072" spans="4:4">
      <c r="D3072" s="16"/>
    </row>
    <row r="3073" spans="4:4">
      <c r="D3073" s="16"/>
    </row>
    <row r="3074" spans="4:4">
      <c r="D3074" s="16"/>
    </row>
    <row r="3075" spans="4:4">
      <c r="D3075" s="16"/>
    </row>
    <row r="3076" spans="4:4">
      <c r="D3076" s="16"/>
    </row>
    <row r="3077" spans="4:4">
      <c r="D3077" s="16"/>
    </row>
    <row r="3078" spans="4:4">
      <c r="D3078" s="16"/>
    </row>
    <row r="3079" spans="4:4">
      <c r="D3079" s="16"/>
    </row>
    <row r="3080" spans="4:4">
      <c r="D3080" s="16"/>
    </row>
    <row r="3081" spans="4:4">
      <c r="D3081" s="16"/>
    </row>
    <row r="3082" spans="4:4">
      <c r="D3082" s="16"/>
    </row>
    <row r="3083" spans="4:4">
      <c r="D3083" s="16"/>
    </row>
    <row r="3084" spans="4:4">
      <c r="D3084" s="16"/>
    </row>
    <row r="3085" spans="4:4">
      <c r="D3085" s="16"/>
    </row>
    <row r="3086" spans="4:4">
      <c r="D3086" s="16"/>
    </row>
    <row r="3087" spans="4:4">
      <c r="D3087" s="16"/>
    </row>
    <row r="3088" spans="4:4">
      <c r="D3088" s="16"/>
    </row>
    <row r="3089" spans="4:4">
      <c r="D3089" s="16"/>
    </row>
    <row r="3090" spans="4:4">
      <c r="D3090" s="16"/>
    </row>
    <row r="3091" spans="4:4">
      <c r="D3091" s="16"/>
    </row>
    <row r="3092" spans="4:4">
      <c r="D3092" s="16"/>
    </row>
    <row r="3093" spans="4:4">
      <c r="D3093" s="16"/>
    </row>
    <row r="3094" spans="4:4">
      <c r="D3094" s="16"/>
    </row>
    <row r="3095" spans="4:4">
      <c r="D3095" s="16"/>
    </row>
    <row r="3096" spans="4:4">
      <c r="D3096" s="16"/>
    </row>
    <row r="3097" spans="4:4">
      <c r="D3097" s="16"/>
    </row>
    <row r="3098" spans="4:4">
      <c r="D3098" s="16"/>
    </row>
    <row r="3099" spans="4:4">
      <c r="D3099" s="16"/>
    </row>
    <row r="3100" spans="4:4">
      <c r="D3100" s="16"/>
    </row>
    <row r="3101" spans="4:4">
      <c r="D3101" s="16"/>
    </row>
    <row r="3102" spans="4:4">
      <c r="D3102" s="16"/>
    </row>
    <row r="3103" spans="4:4">
      <c r="D3103" s="16"/>
    </row>
    <row r="3104" spans="4:4">
      <c r="D3104" s="16"/>
    </row>
    <row r="3105" spans="4:4">
      <c r="D3105" s="16"/>
    </row>
    <row r="3106" spans="4:4">
      <c r="D3106" s="16"/>
    </row>
    <row r="3107" spans="4:4">
      <c r="D3107" s="16"/>
    </row>
    <row r="3108" spans="4:4">
      <c r="D3108" s="16"/>
    </row>
    <row r="3109" spans="4:4">
      <c r="D3109" s="16"/>
    </row>
    <row r="3110" spans="4:4">
      <c r="D3110" s="16"/>
    </row>
    <row r="3111" spans="4:4">
      <c r="D3111" s="16"/>
    </row>
    <row r="3112" spans="4:4">
      <c r="D3112" s="16"/>
    </row>
    <row r="3113" spans="4:4">
      <c r="D3113" s="16"/>
    </row>
    <row r="3114" spans="4:4">
      <c r="D3114" s="16"/>
    </row>
    <row r="3115" spans="4:4">
      <c r="D3115" s="16"/>
    </row>
    <row r="3116" spans="4:4">
      <c r="D3116" s="16"/>
    </row>
    <row r="3117" spans="4:4">
      <c r="D3117" s="16"/>
    </row>
    <row r="3118" spans="4:4">
      <c r="D3118" s="16"/>
    </row>
    <row r="3119" spans="4:4">
      <c r="D3119" s="16"/>
    </row>
    <row r="3120" spans="4:4">
      <c r="D3120" s="16"/>
    </row>
    <row r="3121" spans="4:4">
      <c r="D3121" s="16"/>
    </row>
    <row r="3122" spans="4:4">
      <c r="D3122" s="16"/>
    </row>
    <row r="3123" spans="4:4">
      <c r="D3123" s="16"/>
    </row>
    <row r="3124" spans="4:4">
      <c r="D3124" s="16"/>
    </row>
    <row r="3125" spans="4:4">
      <c r="D3125" s="16"/>
    </row>
    <row r="3126" spans="4:4">
      <c r="D3126" s="16"/>
    </row>
    <row r="3127" spans="4:4">
      <c r="D3127" s="16"/>
    </row>
    <row r="3128" spans="4:4">
      <c r="D3128" s="16"/>
    </row>
    <row r="3129" spans="4:4">
      <c r="D3129" s="16"/>
    </row>
    <row r="3130" spans="4:4">
      <c r="D3130" s="16"/>
    </row>
    <row r="3131" spans="4:4">
      <c r="D3131" s="16"/>
    </row>
    <row r="3132" spans="4:4">
      <c r="D3132" s="16"/>
    </row>
    <row r="3133" spans="4:4">
      <c r="D3133" s="16"/>
    </row>
    <row r="3134" spans="4:4">
      <c r="D3134" s="16"/>
    </row>
    <row r="3135" spans="4:4">
      <c r="D3135" s="16"/>
    </row>
    <row r="3136" spans="4:4">
      <c r="D3136" s="16"/>
    </row>
    <row r="3137" spans="4:4">
      <c r="D3137" s="16"/>
    </row>
    <row r="3138" spans="4:4">
      <c r="D3138" s="16"/>
    </row>
    <row r="3139" spans="4:4">
      <c r="D3139" s="16"/>
    </row>
    <row r="3140" spans="4:4">
      <c r="D3140" s="16"/>
    </row>
    <row r="3141" spans="4:4">
      <c r="D3141" s="16"/>
    </row>
    <row r="3142" spans="4:4">
      <c r="D3142" s="16"/>
    </row>
    <row r="3143" spans="4:4">
      <c r="D3143" s="16"/>
    </row>
    <row r="3144" spans="4:4">
      <c r="D3144" s="16"/>
    </row>
    <row r="3145" spans="4:4">
      <c r="D3145" s="16"/>
    </row>
    <row r="3146" spans="4:4">
      <c r="D3146" s="16"/>
    </row>
    <row r="3147" spans="4:4">
      <c r="D3147" s="16"/>
    </row>
    <row r="3148" spans="4:4">
      <c r="D3148" s="16"/>
    </row>
    <row r="3149" spans="4:4">
      <c r="D3149" s="16"/>
    </row>
    <row r="3150" spans="4:4">
      <c r="D3150" s="16"/>
    </row>
    <row r="3151" spans="4:4">
      <c r="D3151" s="16"/>
    </row>
    <row r="3152" spans="4:4">
      <c r="D3152" s="16"/>
    </row>
    <row r="3153" spans="4:4">
      <c r="D3153" s="16"/>
    </row>
    <row r="3154" spans="4:4">
      <c r="D3154" s="16"/>
    </row>
    <row r="3155" spans="4:4">
      <c r="D3155" s="16"/>
    </row>
    <row r="3156" spans="4:4">
      <c r="D3156" s="16"/>
    </row>
    <row r="3157" spans="4:4">
      <c r="D3157" s="16"/>
    </row>
    <row r="3158" spans="4:4">
      <c r="D3158" s="16"/>
    </row>
    <row r="3159" spans="4:4">
      <c r="D3159" s="16"/>
    </row>
    <row r="3160" spans="4:4">
      <c r="D3160" s="16"/>
    </row>
    <row r="3161" spans="4:4">
      <c r="D3161" s="16"/>
    </row>
    <row r="3162" spans="4:4">
      <c r="D3162" s="16"/>
    </row>
    <row r="3163" spans="4:4">
      <c r="D3163" s="16"/>
    </row>
    <row r="3164" spans="4:4">
      <c r="D3164" s="16"/>
    </row>
    <row r="3165" spans="4:4">
      <c r="D3165" s="16"/>
    </row>
    <row r="3166" spans="4:4">
      <c r="D3166" s="16"/>
    </row>
    <row r="3167" spans="4:4">
      <c r="D3167" s="16"/>
    </row>
    <row r="3168" spans="4:4">
      <c r="D3168" s="16"/>
    </row>
    <row r="3169" spans="4:4">
      <c r="D3169" s="16"/>
    </row>
    <row r="3170" spans="4:4">
      <c r="D3170" s="16"/>
    </row>
    <row r="3171" spans="4:4">
      <c r="D3171" s="16"/>
    </row>
    <row r="3172" spans="4:4">
      <c r="D3172" s="16"/>
    </row>
    <row r="3173" spans="4:4">
      <c r="D3173" s="16"/>
    </row>
    <row r="3174" spans="4:4">
      <c r="D3174" s="16"/>
    </row>
    <row r="3175" spans="4:4">
      <c r="D3175" s="16"/>
    </row>
    <row r="3176" spans="4:4">
      <c r="D3176" s="16"/>
    </row>
    <row r="3177" spans="4:4">
      <c r="D3177" s="16"/>
    </row>
    <row r="3178" spans="4:4">
      <c r="D3178" s="16"/>
    </row>
    <row r="3179" spans="4:4">
      <c r="D3179" s="16"/>
    </row>
    <row r="3180" spans="4:4">
      <c r="D3180" s="16"/>
    </row>
    <row r="3181" spans="4:4">
      <c r="D3181" s="16"/>
    </row>
    <row r="3182" spans="4:4">
      <c r="D3182" s="16"/>
    </row>
    <row r="3183" spans="4:4">
      <c r="D3183" s="16"/>
    </row>
    <row r="3184" spans="4:4">
      <c r="D3184" s="16"/>
    </row>
    <row r="3185" spans="4:4">
      <c r="D3185" s="16"/>
    </row>
    <row r="3186" spans="4:4">
      <c r="D3186" s="16"/>
    </row>
    <row r="3187" spans="4:4">
      <c r="D3187" s="16"/>
    </row>
    <row r="3188" spans="4:4">
      <c r="D3188" s="16"/>
    </row>
    <row r="3189" spans="4:4">
      <c r="D3189" s="16"/>
    </row>
    <row r="3190" spans="4:4">
      <c r="D3190" s="16"/>
    </row>
    <row r="3191" spans="4:4">
      <c r="D3191" s="16"/>
    </row>
    <row r="3192" spans="4:4">
      <c r="D3192" s="16"/>
    </row>
    <row r="3193" spans="4:4">
      <c r="D3193" s="16"/>
    </row>
    <row r="3194" spans="4:4">
      <c r="D3194" s="16"/>
    </row>
    <row r="3195" spans="4:4">
      <c r="D3195" s="16"/>
    </row>
    <row r="3196" spans="4:4">
      <c r="D3196" s="16"/>
    </row>
    <row r="3197" spans="4:4">
      <c r="D3197" s="16"/>
    </row>
    <row r="3198" spans="4:4">
      <c r="D3198" s="16"/>
    </row>
    <row r="3199" spans="4:4">
      <c r="D3199" s="16"/>
    </row>
    <row r="3200" spans="4:4">
      <c r="D3200" s="16"/>
    </row>
    <row r="3201" spans="4:4">
      <c r="D3201" s="16"/>
    </row>
    <row r="3202" spans="4:4">
      <c r="D3202" s="16"/>
    </row>
    <row r="3203" spans="4:4">
      <c r="D3203" s="16"/>
    </row>
    <row r="3204" spans="4:4">
      <c r="D3204" s="16"/>
    </row>
    <row r="3205" spans="4:4">
      <c r="D3205" s="16"/>
    </row>
    <row r="3206" spans="4:4">
      <c r="D3206" s="16"/>
    </row>
    <row r="3207" spans="4:4">
      <c r="D3207" s="16"/>
    </row>
    <row r="3208" spans="4:4">
      <c r="D3208" s="16"/>
    </row>
    <row r="3209" spans="4:4">
      <c r="D3209" s="16"/>
    </row>
    <row r="3210" spans="4:4">
      <c r="D3210" s="16"/>
    </row>
    <row r="3211" spans="4:4">
      <c r="D3211" s="16"/>
    </row>
    <row r="3212" spans="4:4">
      <c r="D3212" s="16"/>
    </row>
    <row r="3213" spans="4:4">
      <c r="D3213" s="16"/>
    </row>
    <row r="3214" spans="4:4">
      <c r="D3214" s="16"/>
    </row>
    <row r="3215" spans="4:4">
      <c r="D3215" s="16"/>
    </row>
    <row r="3216" spans="4:4">
      <c r="D3216" s="16"/>
    </row>
    <row r="3217" spans="4:4">
      <c r="D3217" s="16"/>
    </row>
    <row r="3218" spans="4:4">
      <c r="D3218" s="16"/>
    </row>
    <row r="3219" spans="4:4">
      <c r="D3219" s="16"/>
    </row>
    <row r="3220" spans="4:4">
      <c r="D3220" s="16"/>
    </row>
    <row r="3221" spans="4:4">
      <c r="D3221" s="16"/>
    </row>
    <row r="3222" spans="4:4">
      <c r="D3222" s="16"/>
    </row>
    <row r="3223" spans="4:4">
      <c r="D3223" s="16"/>
    </row>
    <row r="3224" spans="4:4">
      <c r="D3224" s="16"/>
    </row>
    <row r="3225" spans="4:4">
      <c r="D3225" s="16"/>
    </row>
    <row r="3226" spans="4:4">
      <c r="D3226" s="16"/>
    </row>
    <row r="3227" spans="4:4">
      <c r="D3227" s="16"/>
    </row>
    <row r="3228" spans="4:4">
      <c r="D3228" s="16"/>
    </row>
    <row r="3229" spans="4:4">
      <c r="D3229" s="16"/>
    </row>
    <row r="3230" spans="4:4">
      <c r="D3230" s="16"/>
    </row>
    <row r="3231" spans="4:4">
      <c r="D3231" s="16"/>
    </row>
    <row r="3232" spans="4:4">
      <c r="D3232" s="16"/>
    </row>
    <row r="3233" spans="4:4">
      <c r="D3233" s="16"/>
    </row>
    <row r="3234" spans="4:4">
      <c r="D3234" s="16"/>
    </row>
    <row r="3235" spans="4:4">
      <c r="D3235" s="16"/>
    </row>
    <row r="3236" spans="4:4">
      <c r="D3236" s="16"/>
    </row>
    <row r="3237" spans="4:4">
      <c r="D3237" s="16"/>
    </row>
    <row r="3238" spans="4:4">
      <c r="D3238" s="16"/>
    </row>
    <row r="3239" spans="4:4">
      <c r="D3239" s="16"/>
    </row>
    <row r="3240" spans="4:4">
      <c r="D3240" s="16"/>
    </row>
    <row r="3241" spans="4:4">
      <c r="D3241" s="16"/>
    </row>
    <row r="3242" spans="4:4">
      <c r="D3242" s="16"/>
    </row>
    <row r="3243" spans="4:4">
      <c r="D3243" s="16"/>
    </row>
    <row r="3244" spans="4:4">
      <c r="D3244" s="16"/>
    </row>
    <row r="3245" spans="4:4">
      <c r="D3245" s="16"/>
    </row>
    <row r="3246" spans="4:4">
      <c r="D3246" s="16"/>
    </row>
    <row r="3247" spans="4:4">
      <c r="D3247" s="16"/>
    </row>
    <row r="3248" spans="4:4">
      <c r="D3248" s="16"/>
    </row>
    <row r="3249" spans="4:4">
      <c r="D3249" s="16"/>
    </row>
    <row r="3250" spans="4:4">
      <c r="D3250" s="16"/>
    </row>
    <row r="3251" spans="4:4">
      <c r="D3251" s="16"/>
    </row>
    <row r="3252" spans="4:4">
      <c r="D3252" s="16"/>
    </row>
    <row r="3253" spans="4:4">
      <c r="D3253" s="16"/>
    </row>
    <row r="3254" spans="4:4">
      <c r="D3254" s="16"/>
    </row>
    <row r="3255" spans="4:4">
      <c r="D3255" s="16"/>
    </row>
    <row r="3256" spans="4:4">
      <c r="D3256" s="16"/>
    </row>
    <row r="3257" spans="4:4">
      <c r="D3257" s="16"/>
    </row>
    <row r="3258" spans="4:4">
      <c r="D3258" s="16"/>
    </row>
    <row r="3259" spans="4:4">
      <c r="D3259" s="16"/>
    </row>
    <row r="3260" spans="4:4">
      <c r="D3260" s="16"/>
    </row>
    <row r="3261" spans="4:4">
      <c r="D3261" s="16"/>
    </row>
    <row r="3262" spans="4:4">
      <c r="D3262" s="16"/>
    </row>
    <row r="3263" spans="4:4">
      <c r="D3263" s="16"/>
    </row>
    <row r="3264" spans="4:4">
      <c r="D3264" s="16"/>
    </row>
    <row r="3265" spans="4:4">
      <c r="D3265" s="16"/>
    </row>
    <row r="3266" spans="4:4">
      <c r="D3266" s="16"/>
    </row>
    <row r="3267" spans="4:4">
      <c r="D3267" s="16"/>
    </row>
    <row r="3268" spans="4:4">
      <c r="D3268" s="16"/>
    </row>
    <row r="3269" spans="4:4">
      <c r="D3269" s="16"/>
    </row>
    <row r="3270" spans="4:4">
      <c r="D3270" s="16"/>
    </row>
    <row r="3271" spans="4:4">
      <c r="D3271" s="16"/>
    </row>
    <row r="3272" spans="4:4">
      <c r="D3272" s="16"/>
    </row>
    <row r="3273" spans="4:4">
      <c r="D3273" s="16"/>
    </row>
    <row r="3274" spans="4:4">
      <c r="D3274" s="16"/>
    </row>
    <row r="3275" spans="4:4">
      <c r="D3275" s="16"/>
    </row>
    <row r="3276" spans="4:4">
      <c r="D3276" s="16"/>
    </row>
    <row r="3277" spans="4:4">
      <c r="D3277" s="16"/>
    </row>
    <row r="3278" spans="4:4">
      <c r="D3278" s="16"/>
    </row>
    <row r="3279" spans="4:4">
      <c r="D3279" s="16"/>
    </row>
    <row r="3280" spans="4:4">
      <c r="D3280" s="16"/>
    </row>
    <row r="3281" spans="4:4">
      <c r="D3281" s="16"/>
    </row>
    <row r="3282" spans="4:4">
      <c r="D3282" s="16"/>
    </row>
    <row r="3283" spans="4:4">
      <c r="D3283" s="16"/>
    </row>
    <row r="3284" spans="4:4">
      <c r="D3284" s="16"/>
    </row>
    <row r="3285" spans="4:4">
      <c r="D3285" s="16"/>
    </row>
    <row r="3286" spans="4:4">
      <c r="D3286" s="16"/>
    </row>
    <row r="3287" spans="4:4">
      <c r="D3287" s="16"/>
    </row>
    <row r="3288" spans="4:4">
      <c r="D3288" s="16"/>
    </row>
    <row r="3289" spans="4:4">
      <c r="D3289" s="16"/>
    </row>
    <row r="3290" spans="4:4">
      <c r="D3290" s="16"/>
    </row>
    <row r="3291" spans="4:4">
      <c r="D3291" s="16"/>
    </row>
    <row r="3292" spans="4:4">
      <c r="D3292" s="16"/>
    </row>
    <row r="3293" spans="4:4">
      <c r="D3293" s="16"/>
    </row>
    <row r="3294" spans="4:4">
      <c r="D3294" s="16"/>
    </row>
    <row r="3295" spans="4:4">
      <c r="D3295" s="16"/>
    </row>
    <row r="3296" spans="4:4">
      <c r="D3296" s="16"/>
    </row>
    <row r="3297" spans="4:4">
      <c r="D3297" s="16"/>
    </row>
    <row r="3298" spans="4:4">
      <c r="D3298" s="16"/>
    </row>
    <row r="3299" spans="4:4">
      <c r="D3299" s="16"/>
    </row>
    <row r="3300" spans="4:4">
      <c r="D3300" s="16"/>
    </row>
    <row r="3301" spans="4:4">
      <c r="D3301" s="16"/>
    </row>
    <row r="3302" spans="4:4">
      <c r="D3302" s="16"/>
    </row>
    <row r="3303" spans="4:4">
      <c r="D3303" s="16"/>
    </row>
    <row r="3304" spans="4:4">
      <c r="D3304" s="16"/>
    </row>
    <row r="3305" spans="4:4">
      <c r="D3305" s="16"/>
    </row>
    <row r="3306" spans="4:4">
      <c r="D3306" s="16"/>
    </row>
    <row r="3307" spans="4:4">
      <c r="D3307" s="16"/>
    </row>
    <row r="3308" spans="4:4">
      <c r="D3308" s="16"/>
    </row>
    <row r="3309" spans="4:4">
      <c r="D3309" s="16"/>
    </row>
    <row r="3310" spans="4:4">
      <c r="D3310" s="16"/>
    </row>
    <row r="3311" spans="4:4">
      <c r="D3311" s="16"/>
    </row>
    <row r="3312" spans="4:4">
      <c r="D3312" s="16"/>
    </row>
    <row r="3313" spans="4:4">
      <c r="D3313" s="16"/>
    </row>
    <row r="3314" spans="4:4">
      <c r="D3314" s="16"/>
    </row>
    <row r="3315" spans="4:4">
      <c r="D3315" s="16"/>
    </row>
    <row r="3316" spans="4:4">
      <c r="D3316" s="16"/>
    </row>
    <row r="3317" spans="4:4">
      <c r="D3317" s="16"/>
    </row>
    <row r="3318" spans="4:4">
      <c r="D3318" s="16"/>
    </row>
    <row r="3319" spans="4:4">
      <c r="D3319" s="16"/>
    </row>
    <row r="3320" spans="4:4">
      <c r="D3320" s="16"/>
    </row>
    <row r="3321" spans="4:4">
      <c r="D3321" s="16"/>
    </row>
    <row r="3322" spans="4:4">
      <c r="D3322" s="16"/>
    </row>
    <row r="3323" spans="4:4">
      <c r="D3323" s="16"/>
    </row>
    <row r="3324" spans="4:4">
      <c r="D3324" s="16"/>
    </row>
    <row r="3325" spans="4:4">
      <c r="D3325" s="16"/>
    </row>
    <row r="3326" spans="4:4">
      <c r="D3326" s="16"/>
    </row>
    <row r="3327" spans="4:4">
      <c r="D3327" s="16"/>
    </row>
    <row r="3328" spans="4:4">
      <c r="D3328" s="16"/>
    </row>
    <row r="3329" spans="4:4">
      <c r="D3329" s="16"/>
    </row>
    <row r="3330" spans="4:4">
      <c r="D3330" s="16"/>
    </row>
    <row r="3331" spans="4:4">
      <c r="D3331" s="16"/>
    </row>
    <row r="3332" spans="4:4">
      <c r="D3332" s="16"/>
    </row>
    <row r="3333" spans="4:4">
      <c r="D3333" s="16"/>
    </row>
    <row r="3334" spans="4:4">
      <c r="D3334" s="16"/>
    </row>
    <row r="3335" spans="4:4">
      <c r="D3335" s="16"/>
    </row>
    <row r="3336" spans="4:4">
      <c r="D3336" s="16"/>
    </row>
    <row r="3337" spans="4:4">
      <c r="D3337" s="16"/>
    </row>
    <row r="3338" spans="4:4">
      <c r="D3338" s="16"/>
    </row>
    <row r="3339" spans="4:4">
      <c r="D3339" s="16"/>
    </row>
    <row r="3340" spans="4:4">
      <c r="D3340" s="16"/>
    </row>
    <row r="3341" spans="4:4">
      <c r="D3341" s="16"/>
    </row>
    <row r="3342" spans="4:4">
      <c r="D3342" s="16"/>
    </row>
    <row r="3343" spans="4:4">
      <c r="D3343" s="16"/>
    </row>
    <row r="3344" spans="4:4">
      <c r="D3344" s="16"/>
    </row>
    <row r="3345" spans="4:4">
      <c r="D3345" s="16"/>
    </row>
    <row r="3346" spans="4:4">
      <c r="D3346" s="16"/>
    </row>
    <row r="3347" spans="4:4">
      <c r="D3347" s="16"/>
    </row>
    <row r="3348" spans="4:4">
      <c r="D3348" s="16"/>
    </row>
    <row r="3349" spans="4:4">
      <c r="D3349" s="16"/>
    </row>
    <row r="3350" spans="4:4">
      <c r="D3350" s="16"/>
    </row>
    <row r="3351" spans="4:4">
      <c r="D3351" s="16"/>
    </row>
    <row r="3352" spans="4:4">
      <c r="D3352" s="16"/>
    </row>
    <row r="3353" spans="4:4">
      <c r="D3353" s="16"/>
    </row>
    <row r="3354" spans="4:4">
      <c r="D3354" s="16"/>
    </row>
    <row r="3355" spans="4:4">
      <c r="D3355" s="16"/>
    </row>
    <row r="3356" spans="4:4">
      <c r="D3356" s="16"/>
    </row>
    <row r="3357" spans="4:4">
      <c r="D3357" s="16"/>
    </row>
    <row r="3358" spans="4:4">
      <c r="D3358" s="16"/>
    </row>
    <row r="3359" spans="4:4">
      <c r="D3359" s="16"/>
    </row>
    <row r="3360" spans="4:4">
      <c r="D3360" s="16"/>
    </row>
    <row r="3361" spans="4:4">
      <c r="D3361" s="16"/>
    </row>
    <row r="3362" spans="4:4">
      <c r="D3362" s="16"/>
    </row>
    <row r="3363" spans="4:4">
      <c r="D3363" s="16"/>
    </row>
    <row r="3364" spans="4:4">
      <c r="D3364" s="16"/>
    </row>
    <row r="3365" spans="4:4">
      <c r="D3365" s="16"/>
    </row>
    <row r="3366" spans="4:4">
      <c r="D3366" s="16"/>
    </row>
    <row r="3367" spans="4:4">
      <c r="D3367" s="16"/>
    </row>
    <row r="3368" spans="4:4">
      <c r="D3368" s="16"/>
    </row>
    <row r="3369" spans="4:4">
      <c r="D3369" s="16"/>
    </row>
    <row r="3370" spans="4:4">
      <c r="D3370" s="16"/>
    </row>
    <row r="3371" spans="4:4">
      <c r="D3371" s="16"/>
    </row>
    <row r="3372" spans="4:4">
      <c r="D3372" s="16"/>
    </row>
    <row r="3373" spans="4:4">
      <c r="D3373" s="16"/>
    </row>
    <row r="3374" spans="4:4">
      <c r="D3374" s="16"/>
    </row>
    <row r="3375" spans="4:4">
      <c r="D3375" s="16"/>
    </row>
    <row r="3376" spans="4:4">
      <c r="D3376" s="16"/>
    </row>
    <row r="3377" spans="4:4">
      <c r="D3377" s="16"/>
    </row>
    <row r="3378" spans="4:4">
      <c r="D3378" s="16"/>
    </row>
    <row r="3379" spans="4:4">
      <c r="D3379" s="16"/>
    </row>
    <row r="3380" spans="4:4">
      <c r="D3380" s="16"/>
    </row>
    <row r="3381" spans="4:4">
      <c r="D3381" s="16"/>
    </row>
    <row r="3382" spans="4:4">
      <c r="D3382" s="16"/>
    </row>
    <row r="3383" spans="4:4">
      <c r="D3383" s="16"/>
    </row>
    <row r="3384" spans="4:4">
      <c r="D3384" s="16"/>
    </row>
    <row r="3385" spans="4:4">
      <c r="D3385" s="16"/>
    </row>
    <row r="3386" spans="4:4">
      <c r="D3386" s="16"/>
    </row>
    <row r="3387" spans="4:4">
      <c r="D3387" s="16"/>
    </row>
    <row r="3388" spans="4:4">
      <c r="D3388" s="16"/>
    </row>
    <row r="3389" spans="4:4">
      <c r="D3389" s="16"/>
    </row>
    <row r="3390" spans="4:4">
      <c r="D3390" s="16"/>
    </row>
    <row r="3391" spans="4:4">
      <c r="D3391" s="16"/>
    </row>
    <row r="3392" spans="4:4">
      <c r="D3392" s="16"/>
    </row>
    <row r="3393" spans="4:4">
      <c r="D3393" s="16"/>
    </row>
    <row r="3394" spans="4:4">
      <c r="D3394" s="16"/>
    </row>
    <row r="3395" spans="4:4">
      <c r="D3395" s="16"/>
    </row>
    <row r="3396" spans="4:4">
      <c r="D3396" s="16"/>
    </row>
    <row r="3397" spans="4:4">
      <c r="D3397" s="16"/>
    </row>
    <row r="3398" spans="4:4">
      <c r="D3398" s="16"/>
    </row>
    <row r="3399" spans="4:4">
      <c r="D3399" s="16"/>
    </row>
    <row r="3400" spans="4:4">
      <c r="D3400" s="16"/>
    </row>
    <row r="3401" spans="4:4">
      <c r="D3401" s="16"/>
    </row>
    <row r="3402" spans="4:4">
      <c r="D3402" s="16"/>
    </row>
    <row r="3403" spans="4:4">
      <c r="D3403" s="16"/>
    </row>
    <row r="3404" spans="4:4">
      <c r="D3404" s="16"/>
    </row>
    <row r="3405" spans="4:4">
      <c r="D3405" s="16"/>
    </row>
    <row r="3406" spans="4:4">
      <c r="D3406" s="16"/>
    </row>
    <row r="3407" spans="4:4">
      <c r="D3407" s="16"/>
    </row>
    <row r="3408" spans="4:4">
      <c r="D3408" s="16"/>
    </row>
    <row r="3409" spans="4:4">
      <c r="D3409" s="16"/>
    </row>
    <row r="3410" spans="4:4">
      <c r="D3410" s="16"/>
    </row>
    <row r="3411" spans="4:4">
      <c r="D3411" s="16"/>
    </row>
    <row r="3412" spans="4:4">
      <c r="D3412" s="16"/>
    </row>
    <row r="3413" spans="4:4">
      <c r="D3413" s="16"/>
    </row>
    <row r="3414" spans="4:4">
      <c r="D3414" s="16"/>
    </row>
    <row r="3415" spans="4:4">
      <c r="D3415" s="16"/>
    </row>
    <row r="3416" spans="4:4">
      <c r="D3416" s="16"/>
    </row>
    <row r="3417" spans="4:4">
      <c r="D3417" s="16"/>
    </row>
    <row r="3418" spans="4:4">
      <c r="D3418" s="16"/>
    </row>
    <row r="3419" spans="4:4">
      <c r="D3419" s="16"/>
    </row>
    <row r="3420" spans="4:4">
      <c r="D3420" s="16"/>
    </row>
    <row r="3421" spans="4:4">
      <c r="D3421" s="16"/>
    </row>
    <row r="3422" spans="4:4">
      <c r="D3422" s="16"/>
    </row>
    <row r="3423" spans="4:4">
      <c r="D3423" s="16"/>
    </row>
    <row r="3424" spans="4:4">
      <c r="D3424" s="16"/>
    </row>
    <row r="3425" spans="4:4">
      <c r="D3425" s="16"/>
    </row>
    <row r="3426" spans="4:4">
      <c r="D3426" s="16"/>
    </row>
    <row r="3427" spans="4:4">
      <c r="D3427" s="16"/>
    </row>
    <row r="3428" spans="4:4">
      <c r="D3428" s="16"/>
    </row>
    <row r="3429" spans="4:4">
      <c r="D3429" s="16"/>
    </row>
    <row r="3430" spans="4:4">
      <c r="D3430" s="16"/>
    </row>
    <row r="3431" spans="4:4">
      <c r="D3431" s="16"/>
    </row>
    <row r="3432" spans="4:4">
      <c r="D3432" s="16"/>
    </row>
    <row r="3433" spans="4:4">
      <c r="D3433" s="16"/>
    </row>
    <row r="3434" spans="4:4">
      <c r="D3434" s="16"/>
    </row>
    <row r="3435" spans="4:4">
      <c r="D3435" s="16"/>
    </row>
    <row r="3436" spans="4:4">
      <c r="D3436" s="16"/>
    </row>
    <row r="3437" spans="4:4">
      <c r="D3437" s="16"/>
    </row>
    <row r="3438" spans="4:4">
      <c r="D3438" s="16"/>
    </row>
    <row r="3439" spans="4:4">
      <c r="D3439" s="16"/>
    </row>
    <row r="3440" spans="4:4">
      <c r="D3440" s="16"/>
    </row>
    <row r="3441" spans="4:4">
      <c r="D3441" s="16"/>
    </row>
    <row r="3442" spans="4:4">
      <c r="D3442" s="16"/>
    </row>
    <row r="3443" spans="4:4">
      <c r="D3443" s="16"/>
    </row>
    <row r="3444" spans="4:4">
      <c r="D3444" s="16"/>
    </row>
    <row r="3445" spans="4:4">
      <c r="D3445" s="16"/>
    </row>
    <row r="3446" spans="4:4">
      <c r="D3446" s="16"/>
    </row>
    <row r="3447" spans="4:4">
      <c r="D3447" s="16"/>
    </row>
    <row r="3448" spans="4:4">
      <c r="D3448" s="16"/>
    </row>
    <row r="3449" spans="4:4">
      <c r="D3449" s="16"/>
    </row>
    <row r="3450" spans="4:4">
      <c r="D3450" s="16"/>
    </row>
    <row r="3451" spans="4:4">
      <c r="D3451" s="16"/>
    </row>
    <row r="3452" spans="4:4">
      <c r="D3452" s="16"/>
    </row>
    <row r="3453" spans="4:4">
      <c r="D3453" s="16"/>
    </row>
    <row r="3454" spans="4:4">
      <c r="D3454" s="16"/>
    </row>
    <row r="3455" spans="4:4">
      <c r="D3455" s="16"/>
    </row>
    <row r="3456" spans="4:4">
      <c r="D3456" s="16"/>
    </row>
    <row r="3457" spans="4:4">
      <c r="D3457" s="16"/>
    </row>
    <row r="3458" spans="4:4">
      <c r="D3458" s="16"/>
    </row>
    <row r="3459" spans="4:4">
      <c r="D3459" s="16"/>
    </row>
    <row r="3460" spans="4:4">
      <c r="D3460" s="16"/>
    </row>
    <row r="3461" spans="4:4">
      <c r="D3461" s="16"/>
    </row>
    <row r="3462" spans="4:4">
      <c r="D3462" s="16"/>
    </row>
    <row r="3463" spans="4:4">
      <c r="D3463" s="16"/>
    </row>
    <row r="3464" spans="4:4">
      <c r="D3464" s="16"/>
    </row>
    <row r="3465" spans="4:4">
      <c r="D3465" s="16"/>
    </row>
    <row r="3466" spans="4:4">
      <c r="D3466" s="16"/>
    </row>
    <row r="3467" spans="4:4">
      <c r="D3467" s="16"/>
    </row>
    <row r="3468" spans="4:4">
      <c r="D3468" s="16"/>
    </row>
    <row r="3469" spans="4:4">
      <c r="D3469" s="16"/>
    </row>
    <row r="3470" spans="4:4">
      <c r="D3470" s="16"/>
    </row>
    <row r="3471" spans="4:4">
      <c r="D3471" s="16"/>
    </row>
    <row r="3472" spans="4:4">
      <c r="D3472" s="16"/>
    </row>
    <row r="3473" spans="4:4">
      <c r="D3473" s="16"/>
    </row>
    <row r="3474" spans="4:4">
      <c r="D3474" s="16"/>
    </row>
    <row r="3475" spans="4:4">
      <c r="D3475" s="16"/>
    </row>
    <row r="3476" spans="4:4">
      <c r="D3476" s="16"/>
    </row>
    <row r="3477" spans="4:4">
      <c r="D3477" s="16"/>
    </row>
    <row r="3478" spans="4:4">
      <c r="D3478" s="16"/>
    </row>
    <row r="3479" spans="4:4">
      <c r="D3479" s="16"/>
    </row>
    <row r="3480" spans="4:4">
      <c r="D3480" s="16"/>
    </row>
    <row r="3481" spans="4:4">
      <c r="D3481" s="16"/>
    </row>
    <row r="3482" spans="4:4">
      <c r="D3482" s="16"/>
    </row>
    <row r="3483" spans="4:4">
      <c r="D3483" s="16"/>
    </row>
    <row r="3484" spans="4:4">
      <c r="D3484" s="16"/>
    </row>
    <row r="3485" spans="4:4">
      <c r="D3485" s="16"/>
    </row>
    <row r="3486" spans="4:4">
      <c r="D3486" s="16"/>
    </row>
    <row r="3487" spans="4:4">
      <c r="D3487" s="16"/>
    </row>
    <row r="3488" spans="4:4">
      <c r="D3488" s="16"/>
    </row>
    <row r="3489" spans="4:4">
      <c r="D3489" s="16"/>
    </row>
    <row r="3490" spans="4:4">
      <c r="D3490" s="16"/>
    </row>
    <row r="3491" spans="4:4">
      <c r="D3491" s="16"/>
    </row>
    <row r="3492" spans="4:4">
      <c r="D3492" s="16"/>
    </row>
    <row r="3493" spans="4:4">
      <c r="D3493" s="16"/>
    </row>
    <row r="3494" spans="4:4">
      <c r="D3494" s="16"/>
    </row>
    <row r="3495" spans="4:4">
      <c r="D3495" s="16"/>
    </row>
    <row r="3496" spans="4:4">
      <c r="D3496" s="16"/>
    </row>
    <row r="3497" spans="4:4">
      <c r="D3497" s="16"/>
    </row>
    <row r="3498" spans="4:4">
      <c r="D3498" s="16"/>
    </row>
    <row r="3499" spans="4:4">
      <c r="D3499" s="16"/>
    </row>
    <row r="3500" spans="4:4">
      <c r="D3500" s="16"/>
    </row>
    <row r="3501" spans="4:4">
      <c r="D3501" s="16"/>
    </row>
    <row r="3502" spans="4:4">
      <c r="D3502" s="16"/>
    </row>
    <row r="3503" spans="4:4">
      <c r="D3503" s="16"/>
    </row>
    <row r="3504" spans="4:4">
      <c r="D3504" s="16"/>
    </row>
    <row r="3505" spans="4:4">
      <c r="D3505" s="16"/>
    </row>
    <row r="3506" spans="4:4">
      <c r="D3506" s="16"/>
    </row>
    <row r="3507" spans="4:4">
      <c r="D3507" s="16"/>
    </row>
    <row r="3508" spans="4:4">
      <c r="D3508" s="16"/>
    </row>
    <row r="3509" spans="4:4">
      <c r="D3509" s="16"/>
    </row>
    <row r="3510" spans="4:4">
      <c r="D3510" s="16"/>
    </row>
    <row r="3511" spans="4:4">
      <c r="D3511" s="16"/>
    </row>
    <row r="3512" spans="4:4">
      <c r="D3512" s="16"/>
    </row>
    <row r="3513" spans="4:4">
      <c r="D3513" s="16"/>
    </row>
    <row r="3514" spans="4:4">
      <c r="D3514" s="16"/>
    </row>
    <row r="3515" spans="4:4">
      <c r="D3515" s="16"/>
    </row>
    <row r="3516" spans="4:4">
      <c r="D3516" s="16"/>
    </row>
    <row r="3517" spans="4:4">
      <c r="D3517" s="16"/>
    </row>
    <row r="3518" spans="4:4">
      <c r="D3518" s="16"/>
    </row>
    <row r="3519" spans="4:4">
      <c r="D3519" s="16"/>
    </row>
    <row r="3520" spans="4:4">
      <c r="D3520" s="16"/>
    </row>
    <row r="3521" spans="4:4">
      <c r="D3521" s="16"/>
    </row>
    <row r="3522" spans="4:4">
      <c r="D3522" s="16"/>
    </row>
    <row r="3523" spans="4:4">
      <c r="D3523" s="16"/>
    </row>
    <row r="3524" spans="4:4">
      <c r="D3524" s="16"/>
    </row>
    <row r="3525" spans="4:4">
      <c r="D3525" s="16"/>
    </row>
    <row r="3526" spans="4:4">
      <c r="D3526" s="16"/>
    </row>
    <row r="3527" spans="4:4">
      <c r="D3527" s="16"/>
    </row>
    <row r="3528" spans="4:4">
      <c r="D3528" s="16"/>
    </row>
    <row r="3529" spans="4:4">
      <c r="D3529" s="16"/>
    </row>
    <row r="3530" spans="4:4">
      <c r="D3530" s="16"/>
    </row>
    <row r="3531" spans="4:4">
      <c r="D3531" s="16"/>
    </row>
    <row r="3532" spans="4:4">
      <c r="D3532" s="16"/>
    </row>
    <row r="3533" spans="4:4">
      <c r="D3533" s="16"/>
    </row>
    <row r="3534" spans="4:4">
      <c r="D3534" s="16"/>
    </row>
    <row r="3535" spans="4:4">
      <c r="D3535" s="16"/>
    </row>
    <row r="3536" spans="4:4">
      <c r="D3536" s="16"/>
    </row>
    <row r="3537" spans="4:4">
      <c r="D3537" s="16"/>
    </row>
    <row r="3538" spans="4:4">
      <c r="D3538" s="16"/>
    </row>
    <row r="3539" spans="4:4">
      <c r="D3539" s="16"/>
    </row>
    <row r="3540" spans="4:4">
      <c r="D3540" s="16"/>
    </row>
    <row r="3541" spans="4:4">
      <c r="D3541" s="16"/>
    </row>
    <row r="3542" spans="4:4">
      <c r="D3542" s="16"/>
    </row>
    <row r="3543" spans="4:4">
      <c r="D3543" s="16"/>
    </row>
    <row r="3544" spans="4:4">
      <c r="D3544" s="16"/>
    </row>
    <row r="3545" spans="4:4">
      <c r="D3545" s="16"/>
    </row>
    <row r="3546" spans="4:4">
      <c r="D3546" s="16"/>
    </row>
    <row r="3547" spans="4:4">
      <c r="D3547" s="16"/>
    </row>
    <row r="3548" spans="4:4">
      <c r="D3548" s="16"/>
    </row>
    <row r="3549" spans="4:4">
      <c r="D3549" s="16"/>
    </row>
    <row r="3550" spans="4:4">
      <c r="D3550" s="16"/>
    </row>
    <row r="3551" spans="4:4">
      <c r="D3551" s="16"/>
    </row>
    <row r="3552" spans="4:4">
      <c r="D3552" s="16"/>
    </row>
    <row r="3553" spans="4:4">
      <c r="D3553" s="16"/>
    </row>
    <row r="3554" spans="4:4">
      <c r="D3554" s="16"/>
    </row>
    <row r="3555" spans="4:4">
      <c r="D3555" s="16"/>
    </row>
    <row r="3556" spans="4:4">
      <c r="D3556" s="16"/>
    </row>
    <row r="3557" spans="4:4">
      <c r="D3557" s="16"/>
    </row>
    <row r="3558" spans="4:4">
      <c r="D3558" s="16"/>
    </row>
    <row r="3559" spans="4:4">
      <c r="D3559" s="16"/>
    </row>
    <row r="3560" spans="4:4">
      <c r="D3560" s="16"/>
    </row>
    <row r="3561" spans="4:4">
      <c r="D3561" s="16"/>
    </row>
    <row r="3562" spans="4:4">
      <c r="D3562" s="16"/>
    </row>
    <row r="3563" spans="4:4">
      <c r="D3563" s="16"/>
    </row>
    <row r="3564" spans="4:4">
      <c r="D3564" s="16"/>
    </row>
    <row r="3565" spans="4:4">
      <c r="D3565" s="16"/>
    </row>
    <row r="3566" spans="4:4">
      <c r="D3566" s="16"/>
    </row>
    <row r="3567" spans="4:4">
      <c r="D3567" s="16"/>
    </row>
    <row r="3568" spans="4:4">
      <c r="D3568" s="16"/>
    </row>
    <row r="3569" spans="4:4">
      <c r="D3569" s="16"/>
    </row>
    <row r="3570" spans="4:4">
      <c r="D3570" s="16"/>
    </row>
    <row r="3571" spans="4:4">
      <c r="D3571" s="16"/>
    </row>
    <row r="3572" spans="4:4">
      <c r="D3572" s="16"/>
    </row>
    <row r="3573" spans="4:4">
      <c r="D3573" s="16"/>
    </row>
    <row r="3574" spans="4:4">
      <c r="D3574" s="16"/>
    </row>
    <row r="3575" spans="4:4">
      <c r="D3575" s="16"/>
    </row>
    <row r="3576" spans="4:4">
      <c r="D3576" s="16"/>
    </row>
    <row r="3577" spans="4:4">
      <c r="D3577" s="16"/>
    </row>
    <row r="3578" spans="4:4">
      <c r="D3578" s="16"/>
    </row>
    <row r="3579" spans="4:4">
      <c r="D3579" s="16"/>
    </row>
    <row r="3580" spans="4:4">
      <c r="D3580" s="16"/>
    </row>
    <row r="3581" spans="4:4">
      <c r="D3581" s="16"/>
    </row>
    <row r="3582" spans="4:4">
      <c r="D3582" s="16"/>
    </row>
    <row r="3583" spans="4:4">
      <c r="D3583" s="16"/>
    </row>
    <row r="3584" spans="4:4">
      <c r="D3584" s="16"/>
    </row>
    <row r="3585" spans="4:4">
      <c r="D3585" s="16"/>
    </row>
    <row r="3586" spans="4:4">
      <c r="D3586" s="16"/>
    </row>
    <row r="3587" spans="4:4">
      <c r="D3587" s="16"/>
    </row>
    <row r="3588" spans="4:4">
      <c r="D3588" s="16"/>
    </row>
    <row r="3589" spans="4:4">
      <c r="D3589" s="16"/>
    </row>
    <row r="3590" spans="4:4">
      <c r="D3590" s="16"/>
    </row>
    <row r="3591" spans="4:4">
      <c r="D3591" s="16"/>
    </row>
    <row r="3592" spans="4:4">
      <c r="D3592" s="16"/>
    </row>
    <row r="3593" spans="4:4">
      <c r="D3593" s="16"/>
    </row>
    <row r="3594" spans="4:4">
      <c r="D3594" s="16"/>
    </row>
    <row r="3595" spans="4:4">
      <c r="D3595" s="16"/>
    </row>
    <row r="3596" spans="4:4">
      <c r="D3596" s="16"/>
    </row>
    <row r="3597" spans="4:4">
      <c r="D3597" s="16"/>
    </row>
    <row r="3598" spans="4:4">
      <c r="D3598" s="16"/>
    </row>
    <row r="3599" spans="4:4">
      <c r="D3599" s="16"/>
    </row>
    <row r="3600" spans="4:4">
      <c r="D3600" s="16"/>
    </row>
    <row r="3601" spans="4:4">
      <c r="D3601" s="16"/>
    </row>
    <row r="3602" spans="4:4">
      <c r="D3602" s="16"/>
    </row>
    <row r="3603" spans="4:4">
      <c r="D3603" s="16"/>
    </row>
    <row r="3604" spans="4:4">
      <c r="D3604" s="16"/>
    </row>
    <row r="3605" spans="4:4">
      <c r="D3605" s="16"/>
    </row>
    <row r="3606" spans="4:4">
      <c r="D3606" s="16"/>
    </row>
    <row r="3607" spans="4:4">
      <c r="D3607" s="16"/>
    </row>
    <row r="3608" spans="4:4">
      <c r="D3608" s="16"/>
    </row>
    <row r="3609" spans="4:4">
      <c r="D3609" s="16"/>
    </row>
    <row r="3610" spans="4:4">
      <c r="D3610" s="16"/>
    </row>
    <row r="3611" spans="4:4">
      <c r="D3611" s="16"/>
    </row>
    <row r="3612" spans="4:4">
      <c r="D3612" s="16"/>
    </row>
    <row r="3613" spans="4:4">
      <c r="D3613" s="16"/>
    </row>
    <row r="3614" spans="4:4">
      <c r="D3614" s="16"/>
    </row>
    <row r="3615" spans="4:4">
      <c r="D3615" s="16"/>
    </row>
    <row r="3616" spans="4:4">
      <c r="D3616" s="16"/>
    </row>
    <row r="3617" spans="4:4">
      <c r="D3617" s="16"/>
    </row>
    <row r="3618" spans="4:4">
      <c r="D3618" s="16"/>
    </row>
    <row r="3619" spans="4:4">
      <c r="D3619" s="16"/>
    </row>
    <row r="3620" spans="4:4">
      <c r="D3620" s="16"/>
    </row>
    <row r="3621" spans="4:4">
      <c r="D3621" s="16"/>
    </row>
    <row r="3622" spans="4:4">
      <c r="D3622" s="16"/>
    </row>
    <row r="3623" spans="4:4">
      <c r="D3623" s="16"/>
    </row>
    <row r="3624" spans="4:4">
      <c r="D3624" s="16"/>
    </row>
    <row r="3625" spans="4:4">
      <c r="D3625" s="16"/>
    </row>
    <row r="3626" spans="4:4">
      <c r="D3626" s="16"/>
    </row>
    <row r="3627" spans="4:4">
      <c r="D3627" s="16"/>
    </row>
    <row r="3628" spans="4:4">
      <c r="D3628" s="16"/>
    </row>
    <row r="3629" spans="4:4">
      <c r="D3629" s="16"/>
    </row>
    <row r="3630" spans="4:4">
      <c r="D3630" s="16"/>
    </row>
    <row r="3631" spans="4:4">
      <c r="D3631" s="16"/>
    </row>
    <row r="3632" spans="4:4">
      <c r="D3632" s="16"/>
    </row>
    <row r="3633" spans="4:4">
      <c r="D3633" s="16"/>
    </row>
    <row r="3634" spans="4:4">
      <c r="D3634" s="16"/>
    </row>
    <row r="3635" spans="4:4">
      <c r="D3635" s="16"/>
    </row>
    <row r="3636" spans="4:4">
      <c r="D3636" s="16"/>
    </row>
    <row r="3637" spans="4:4">
      <c r="D3637" s="16"/>
    </row>
    <row r="3638" spans="4:4">
      <c r="D3638" s="16"/>
    </row>
    <row r="3639" spans="4:4">
      <c r="D3639" s="16"/>
    </row>
    <row r="3640" spans="4:4">
      <c r="D3640" s="16"/>
    </row>
    <row r="3641" spans="4:4">
      <c r="D3641" s="16"/>
    </row>
    <row r="3642" spans="4:4">
      <c r="D3642" s="16"/>
    </row>
    <row r="3643" spans="4:4">
      <c r="D3643" s="16"/>
    </row>
    <row r="3644" spans="4:4">
      <c r="D3644" s="16"/>
    </row>
    <row r="3645" spans="4:4">
      <c r="D3645" s="16"/>
    </row>
    <row r="3646" spans="4:4">
      <c r="D3646" s="16"/>
    </row>
    <row r="3647" spans="4:4">
      <c r="D3647" s="16"/>
    </row>
    <row r="3648" spans="4:4">
      <c r="D3648" s="16"/>
    </row>
    <row r="3649" spans="4:4">
      <c r="D3649" s="16"/>
    </row>
    <row r="3650" spans="4:4">
      <c r="D3650" s="16"/>
    </row>
    <row r="3651" spans="4:4">
      <c r="D3651" s="16"/>
    </row>
    <row r="3652" spans="4:4">
      <c r="D3652" s="16"/>
    </row>
    <row r="3653" spans="4:4">
      <c r="D3653" s="16"/>
    </row>
    <row r="3654" spans="4:4">
      <c r="D3654" s="16"/>
    </row>
    <row r="3655" spans="4:4">
      <c r="D3655" s="16"/>
    </row>
    <row r="3656" spans="4:4">
      <c r="D3656" s="16"/>
    </row>
    <row r="3657" spans="4:4">
      <c r="D3657" s="16"/>
    </row>
    <row r="3658" spans="4:4">
      <c r="D3658" s="16"/>
    </row>
    <row r="3659" spans="4:4">
      <c r="D3659" s="16"/>
    </row>
    <row r="3660" spans="4:4">
      <c r="D3660" s="16"/>
    </row>
    <row r="3661" spans="4:4">
      <c r="D3661" s="16"/>
    </row>
    <row r="3662" spans="4:4">
      <c r="D3662" s="16"/>
    </row>
    <row r="3663" spans="4:4">
      <c r="D3663" s="16"/>
    </row>
    <row r="3664" spans="4:4">
      <c r="D3664" s="16"/>
    </row>
    <row r="3665" spans="4:4">
      <c r="D3665" s="16"/>
    </row>
    <row r="3666" spans="4:4">
      <c r="D3666" s="16"/>
    </row>
    <row r="3667" spans="4:4">
      <c r="D3667" s="16"/>
    </row>
    <row r="3668" spans="4:4">
      <c r="D3668" s="16"/>
    </row>
    <row r="3669" spans="4:4">
      <c r="D3669" s="16"/>
    </row>
    <row r="3670" spans="4:4">
      <c r="D3670" s="16"/>
    </row>
    <row r="3671" spans="4:4">
      <c r="D3671" s="16"/>
    </row>
    <row r="3672" spans="4:4">
      <c r="D3672" s="16"/>
    </row>
    <row r="3673" spans="4:4">
      <c r="D3673" s="16"/>
    </row>
    <row r="3674" spans="4:4">
      <c r="D3674" s="16"/>
    </row>
    <row r="3675" spans="4:4">
      <c r="D3675" s="16"/>
    </row>
    <row r="3676" spans="4:4">
      <c r="D3676" s="16"/>
    </row>
    <row r="3677" spans="4:4">
      <c r="D3677" s="16"/>
    </row>
    <row r="3678" spans="4:4">
      <c r="D3678" s="16"/>
    </row>
    <row r="3679" spans="4:4">
      <c r="D3679" s="16"/>
    </row>
    <row r="3680" spans="4:4">
      <c r="D3680" s="16"/>
    </row>
    <row r="3681" spans="4:4">
      <c r="D3681" s="16"/>
    </row>
    <row r="3682" spans="4:4">
      <c r="D3682" s="16"/>
    </row>
    <row r="3683" spans="4:4">
      <c r="D3683" s="16"/>
    </row>
    <row r="3684" spans="4:4">
      <c r="D3684" s="16"/>
    </row>
    <row r="3685" spans="4:4">
      <c r="D3685" s="16"/>
    </row>
    <row r="3686" spans="4:4">
      <c r="D3686" s="16"/>
    </row>
    <row r="3687" spans="4:4">
      <c r="D3687" s="16"/>
    </row>
    <row r="3688" spans="4:4">
      <c r="D3688" s="16"/>
    </row>
    <row r="3689" spans="4:4">
      <c r="D3689" s="16"/>
    </row>
    <row r="3690" spans="4:4">
      <c r="D3690" s="16"/>
    </row>
    <row r="3691" spans="4:4">
      <c r="D3691" s="16"/>
    </row>
    <row r="3692" spans="4:4">
      <c r="D3692" s="16"/>
    </row>
    <row r="3693" spans="4:4">
      <c r="D3693" s="16"/>
    </row>
    <row r="3694" spans="4:4">
      <c r="D3694" s="16"/>
    </row>
    <row r="3695" spans="4:4">
      <c r="D3695" s="16"/>
    </row>
    <row r="3696" spans="4:4">
      <c r="D3696" s="16"/>
    </row>
    <row r="3697" spans="4:4">
      <c r="D3697" s="16"/>
    </row>
    <row r="3698" spans="4:4">
      <c r="D3698" s="16"/>
    </row>
    <row r="3699" spans="4:4">
      <c r="D3699" s="16"/>
    </row>
    <row r="3700" spans="4:4">
      <c r="D3700" s="16"/>
    </row>
    <row r="3701" spans="4:4">
      <c r="D3701" s="16"/>
    </row>
    <row r="3702" spans="4:4">
      <c r="D3702" s="16"/>
    </row>
    <row r="3703" spans="4:4">
      <c r="D3703" s="16"/>
    </row>
    <row r="3704" spans="4:4">
      <c r="D3704" s="16"/>
    </row>
    <row r="3705" spans="4:4">
      <c r="D3705" s="16"/>
    </row>
    <row r="3706" spans="4:4">
      <c r="D3706" s="16"/>
    </row>
    <row r="3707" spans="4:4">
      <c r="D3707" s="16"/>
    </row>
    <row r="3708" spans="4:4">
      <c r="D3708" s="16"/>
    </row>
    <row r="3709" spans="4:4">
      <c r="D3709" s="16"/>
    </row>
    <row r="3710" spans="4:4">
      <c r="D3710" s="16"/>
    </row>
    <row r="3711" spans="4:4">
      <c r="D3711" s="16"/>
    </row>
    <row r="3712" spans="4:4">
      <c r="D3712" s="16"/>
    </row>
    <row r="3713" spans="4:4">
      <c r="D3713" s="16"/>
    </row>
    <row r="3714" spans="4:4">
      <c r="D3714" s="16"/>
    </row>
    <row r="3715" spans="4:4">
      <c r="D3715" s="16"/>
    </row>
    <row r="3716" spans="4:4">
      <c r="D3716" s="16"/>
    </row>
    <row r="3717" spans="4:4">
      <c r="D3717" s="16"/>
    </row>
    <row r="3718" spans="4:4">
      <c r="D3718" s="16"/>
    </row>
    <row r="3719" spans="4:4">
      <c r="D3719" s="16"/>
    </row>
    <row r="3720" spans="4:4">
      <c r="D3720" s="16"/>
    </row>
    <row r="3721" spans="4:4">
      <c r="D3721" s="16"/>
    </row>
    <row r="3722" spans="4:4">
      <c r="D3722" s="16"/>
    </row>
    <row r="3723" spans="4:4">
      <c r="D3723" s="16"/>
    </row>
    <row r="3724" spans="4:4">
      <c r="D3724" s="16"/>
    </row>
    <row r="3725" spans="4:4">
      <c r="D3725" s="16"/>
    </row>
    <row r="3726" spans="4:4">
      <c r="D3726" s="16"/>
    </row>
    <row r="3727" spans="4:4">
      <c r="D3727" s="16"/>
    </row>
    <row r="3728" spans="4:4">
      <c r="D3728" s="16"/>
    </row>
    <row r="3729" spans="4:4">
      <c r="D3729" s="16"/>
    </row>
    <row r="3730" spans="4:4">
      <c r="D3730" s="16"/>
    </row>
    <row r="3731" spans="4:4">
      <c r="D3731" s="16"/>
    </row>
    <row r="3732" spans="4:4">
      <c r="D3732" s="16"/>
    </row>
    <row r="3733" spans="4:4">
      <c r="D3733" s="16"/>
    </row>
    <row r="3734" spans="4:4">
      <c r="D3734" s="16"/>
    </row>
    <row r="3735" spans="4:4">
      <c r="D3735" s="16"/>
    </row>
    <row r="3736" spans="4:4">
      <c r="D3736" s="16"/>
    </row>
    <row r="3737" spans="4:4">
      <c r="D3737" s="16"/>
    </row>
    <row r="3738" spans="4:4">
      <c r="D3738" s="16"/>
    </row>
    <row r="3739" spans="4:4">
      <c r="D3739" s="16"/>
    </row>
    <row r="3740" spans="4:4">
      <c r="D3740" s="16"/>
    </row>
    <row r="3741" spans="4:4">
      <c r="D3741" s="16"/>
    </row>
    <row r="3742" spans="4:4">
      <c r="D3742" s="16"/>
    </row>
    <row r="3743" spans="4:4">
      <c r="D3743" s="16"/>
    </row>
    <row r="3744" spans="4:4">
      <c r="D3744" s="16"/>
    </row>
    <row r="3745" spans="4:4">
      <c r="D3745" s="16"/>
    </row>
    <row r="3746" spans="4:4">
      <c r="D3746" s="16"/>
    </row>
    <row r="3747" spans="4:4">
      <c r="D3747" s="16"/>
    </row>
    <row r="3748" spans="4:4">
      <c r="D3748" s="16"/>
    </row>
    <row r="3749" spans="4:4">
      <c r="D3749" s="16"/>
    </row>
    <row r="3750" spans="4:4">
      <c r="D3750" s="16"/>
    </row>
    <row r="3751" spans="4:4">
      <c r="D3751" s="16"/>
    </row>
    <row r="3752" spans="4:4">
      <c r="D3752" s="16"/>
    </row>
    <row r="3753" spans="4:4">
      <c r="D3753" s="16"/>
    </row>
    <row r="3754" spans="4:4">
      <c r="D3754" s="16"/>
    </row>
    <row r="3755" spans="4:4">
      <c r="D3755" s="16"/>
    </row>
    <row r="3756" spans="4:4">
      <c r="D3756" s="16"/>
    </row>
    <row r="3757" spans="4:4">
      <c r="D3757" s="16"/>
    </row>
    <row r="3758" spans="4:4">
      <c r="D3758" s="16"/>
    </row>
    <row r="3759" spans="4:4">
      <c r="D3759" s="16"/>
    </row>
    <row r="3760" spans="4:4">
      <c r="D3760" s="16"/>
    </row>
    <row r="3761" spans="4:4">
      <c r="D3761" s="16"/>
    </row>
    <row r="3762" spans="4:4">
      <c r="D3762" s="16"/>
    </row>
    <row r="3763" spans="4:4">
      <c r="D3763" s="16"/>
    </row>
    <row r="3764" spans="4:4">
      <c r="D3764" s="16"/>
    </row>
    <row r="3765" spans="4:4">
      <c r="D3765" s="16"/>
    </row>
    <row r="3766" spans="4:4">
      <c r="D3766" s="16"/>
    </row>
    <row r="3767" spans="4:4">
      <c r="D3767" s="16"/>
    </row>
    <row r="3768" spans="4:4">
      <c r="D3768" s="16"/>
    </row>
    <row r="3769" spans="4:4">
      <c r="D3769" s="16"/>
    </row>
    <row r="3770" spans="4:4">
      <c r="D3770" s="16"/>
    </row>
    <row r="3771" spans="4:4">
      <c r="D3771" s="16"/>
    </row>
    <row r="3772" spans="4:4">
      <c r="D3772" s="16"/>
    </row>
    <row r="3773" spans="4:4">
      <c r="D3773" s="16"/>
    </row>
    <row r="3774" spans="4:4">
      <c r="D3774" s="16"/>
    </row>
    <row r="3775" spans="4:4">
      <c r="D3775" s="16"/>
    </row>
    <row r="3776" spans="4:4">
      <c r="D3776" s="16"/>
    </row>
    <row r="3777" spans="4:4">
      <c r="D3777" s="16"/>
    </row>
    <row r="3778" spans="4:4">
      <c r="D3778" s="16"/>
    </row>
    <row r="3779" spans="4:4">
      <c r="D3779" s="16"/>
    </row>
    <row r="3780" spans="4:4">
      <c r="D3780" s="16"/>
    </row>
    <row r="3781" spans="4:4">
      <c r="D3781" s="16"/>
    </row>
    <row r="3782" spans="4:4">
      <c r="D3782" s="16"/>
    </row>
    <row r="3783" spans="4:4">
      <c r="D3783" s="16"/>
    </row>
    <row r="3784" spans="4:4">
      <c r="D3784" s="16"/>
    </row>
    <row r="3785" spans="4:4">
      <c r="D3785" s="16"/>
    </row>
    <row r="3786" spans="4:4">
      <c r="D3786" s="16"/>
    </row>
    <row r="3787" spans="4:4">
      <c r="D3787" s="16"/>
    </row>
    <row r="3788" spans="4:4">
      <c r="D3788" s="16"/>
    </row>
    <row r="3789" spans="4:4">
      <c r="D3789" s="16"/>
    </row>
    <row r="3790" spans="4:4">
      <c r="D3790" s="16"/>
    </row>
    <row r="3791" spans="4:4">
      <c r="D3791" s="16"/>
    </row>
    <row r="3792" spans="4:4">
      <c r="D3792" s="16"/>
    </row>
    <row r="3793" spans="4:4">
      <c r="D3793" s="16"/>
    </row>
    <row r="3794" spans="4:4">
      <c r="D3794" s="16"/>
    </row>
    <row r="3795" spans="4:4">
      <c r="D3795" s="16"/>
    </row>
    <row r="3796" spans="4:4">
      <c r="D3796" s="16"/>
    </row>
    <row r="3797" spans="4:4">
      <c r="D3797" s="16"/>
    </row>
    <row r="3798" spans="4:4">
      <c r="D3798" s="16"/>
    </row>
    <row r="3799" spans="4:4">
      <c r="D3799" s="16"/>
    </row>
    <row r="3800" spans="4:4">
      <c r="D3800" s="16"/>
    </row>
    <row r="3801" spans="4:4">
      <c r="D3801" s="16"/>
    </row>
    <row r="3802" spans="4:4">
      <c r="D3802" s="16"/>
    </row>
    <row r="3803" spans="4:4">
      <c r="D3803" s="16"/>
    </row>
    <row r="3804" spans="4:4">
      <c r="D3804" s="16"/>
    </row>
    <row r="3805" spans="4:4">
      <c r="D3805" s="16"/>
    </row>
    <row r="3806" spans="4:4">
      <c r="D3806" s="16"/>
    </row>
    <row r="3807" spans="4:4">
      <c r="D3807" s="16"/>
    </row>
    <row r="3808" spans="4:4">
      <c r="D3808" s="16"/>
    </row>
    <row r="3809" spans="4:4">
      <c r="D3809" s="16"/>
    </row>
    <row r="3810" spans="4:4">
      <c r="D3810" s="16"/>
    </row>
    <row r="3811" spans="4:4">
      <c r="D3811" s="16"/>
    </row>
    <row r="3812" spans="4:4">
      <c r="D3812" s="16"/>
    </row>
    <row r="3813" spans="4:4">
      <c r="D3813" s="16"/>
    </row>
    <row r="3814" spans="4:4">
      <c r="D3814" s="16"/>
    </row>
    <row r="3815" spans="4:4">
      <c r="D3815" s="16"/>
    </row>
    <row r="3816" spans="4:4">
      <c r="D3816" s="16"/>
    </row>
    <row r="3817" spans="4:4">
      <c r="D3817" s="16"/>
    </row>
    <row r="3818" spans="4:4">
      <c r="D3818" s="16"/>
    </row>
    <row r="3819" spans="4:4">
      <c r="D3819" s="16"/>
    </row>
    <row r="3820" spans="4:4">
      <c r="D3820" s="16"/>
    </row>
    <row r="3821" spans="4:4">
      <c r="D3821" s="16"/>
    </row>
    <row r="3822" spans="4:4">
      <c r="D3822" s="16"/>
    </row>
    <row r="3823" spans="4:4">
      <c r="D3823" s="16"/>
    </row>
    <row r="3824" spans="4:4">
      <c r="D3824" s="16"/>
    </row>
    <row r="3825" spans="4:4">
      <c r="D3825" s="16"/>
    </row>
    <row r="3826" spans="4:4">
      <c r="D3826" s="16"/>
    </row>
    <row r="3827" spans="4:4">
      <c r="D3827" s="16"/>
    </row>
    <row r="3828" spans="4:4">
      <c r="D3828" s="16"/>
    </row>
    <row r="3829" spans="4:4">
      <c r="D3829" s="16"/>
    </row>
    <row r="3830" spans="4:4">
      <c r="D3830" s="16"/>
    </row>
    <row r="3831" spans="4:4">
      <c r="D3831" s="16"/>
    </row>
    <row r="3832" spans="4:4">
      <c r="D3832" s="16"/>
    </row>
    <row r="3833" spans="4:4">
      <c r="D3833" s="16"/>
    </row>
    <row r="3834" spans="4:4">
      <c r="D3834" s="16"/>
    </row>
    <row r="3835" spans="4:4">
      <c r="D3835" s="16"/>
    </row>
    <row r="3836" spans="4:4">
      <c r="D3836" s="16"/>
    </row>
    <row r="3837" spans="4:4">
      <c r="D3837" s="16"/>
    </row>
    <row r="3838" spans="4:4">
      <c r="D3838" s="16"/>
    </row>
    <row r="3839" spans="4:4">
      <c r="D3839" s="16"/>
    </row>
    <row r="3840" spans="4:4">
      <c r="D3840" s="16"/>
    </row>
    <row r="3841" spans="4:4">
      <c r="D3841" s="16"/>
    </row>
    <row r="3842" spans="4:4">
      <c r="D3842" s="16"/>
    </row>
    <row r="3843" spans="4:4">
      <c r="D3843" s="16"/>
    </row>
    <row r="3844" spans="4:4">
      <c r="D3844" s="16"/>
    </row>
    <row r="3845" spans="4:4">
      <c r="D3845" s="16"/>
    </row>
    <row r="3846" spans="4:4">
      <c r="D3846" s="16"/>
    </row>
    <row r="3847" spans="4:4">
      <c r="D3847" s="16"/>
    </row>
    <row r="3848" spans="4:4">
      <c r="D3848" s="16"/>
    </row>
    <row r="3849" spans="4:4">
      <c r="D3849" s="16"/>
    </row>
    <row r="3850" spans="4:4">
      <c r="D3850" s="16"/>
    </row>
    <row r="3851" spans="4:4">
      <c r="D3851" s="16"/>
    </row>
    <row r="3852" spans="4:4">
      <c r="D3852" s="16"/>
    </row>
    <row r="3853" spans="4:4">
      <c r="D3853" s="16"/>
    </row>
    <row r="3854" spans="4:4">
      <c r="D3854" s="16"/>
    </row>
    <row r="3855" spans="4:4">
      <c r="D3855" s="16"/>
    </row>
    <row r="3856" spans="4:4">
      <c r="D3856" s="16"/>
    </row>
    <row r="3857" spans="4:4">
      <c r="D3857" s="16"/>
    </row>
    <row r="3858" spans="4:4">
      <c r="D3858" s="16"/>
    </row>
    <row r="3859" spans="4:4">
      <c r="D3859" s="16"/>
    </row>
    <row r="3860" spans="4:4">
      <c r="D3860" s="16"/>
    </row>
    <row r="3861" spans="4:4">
      <c r="D3861" s="16"/>
    </row>
    <row r="3862" spans="4:4">
      <c r="D3862" s="16"/>
    </row>
    <row r="3863" spans="4:4">
      <c r="D3863" s="16"/>
    </row>
    <row r="3864" spans="4:4">
      <c r="D3864" s="16"/>
    </row>
    <row r="3865" spans="4:4">
      <c r="D3865" s="16"/>
    </row>
    <row r="3866" spans="4:4">
      <c r="D3866" s="16"/>
    </row>
    <row r="3867" spans="4:4">
      <c r="D3867" s="16"/>
    </row>
    <row r="3868" spans="4:4">
      <c r="D3868" s="16"/>
    </row>
    <row r="3869" spans="4:4">
      <c r="D3869" s="16"/>
    </row>
    <row r="3870" spans="4:4">
      <c r="D3870" s="16"/>
    </row>
    <row r="3871" spans="4:4">
      <c r="D3871" s="16"/>
    </row>
    <row r="3872" spans="4:4">
      <c r="D3872" s="16"/>
    </row>
    <row r="3873" spans="4:4">
      <c r="D3873" s="16"/>
    </row>
    <row r="3874" spans="4:4">
      <c r="D3874" s="16"/>
    </row>
    <row r="3875" spans="4:4">
      <c r="D3875" s="16"/>
    </row>
    <row r="3876" spans="4:4">
      <c r="D3876" s="16"/>
    </row>
    <row r="3877" spans="4:4">
      <c r="D3877" s="16"/>
    </row>
    <row r="3878" spans="4:4">
      <c r="D3878" s="16"/>
    </row>
    <row r="3879" spans="4:4">
      <c r="D3879" s="16"/>
    </row>
    <row r="3880" spans="4:4">
      <c r="D3880" s="16"/>
    </row>
    <row r="3881" spans="4:4">
      <c r="D3881" s="16"/>
    </row>
    <row r="3882" spans="4:4">
      <c r="D3882" s="16"/>
    </row>
    <row r="3883" spans="4:4">
      <c r="D3883" s="16"/>
    </row>
    <row r="3884" spans="4:4">
      <c r="D3884" s="16"/>
    </row>
    <row r="3885" spans="4:4">
      <c r="D3885" s="16"/>
    </row>
    <row r="3886" spans="4:4">
      <c r="D3886" s="16"/>
    </row>
    <row r="3887" spans="4:4">
      <c r="D3887" s="16"/>
    </row>
    <row r="3888" spans="4:4">
      <c r="D3888" s="16"/>
    </row>
    <row r="3889" spans="4:4">
      <c r="D3889" s="16"/>
    </row>
    <row r="3890" spans="4:4">
      <c r="D3890" s="16"/>
    </row>
    <row r="3891" spans="4:4">
      <c r="D3891" s="16"/>
    </row>
    <row r="3892" spans="4:4">
      <c r="D3892" s="16"/>
    </row>
    <row r="3893" spans="4:4">
      <c r="D3893" s="16"/>
    </row>
    <row r="3894" spans="4:4">
      <c r="D3894" s="16"/>
    </row>
    <row r="3895" spans="4:4">
      <c r="D3895" s="16"/>
    </row>
    <row r="3896" spans="4:4">
      <c r="D3896" s="16"/>
    </row>
    <row r="3897" spans="4:4">
      <c r="D3897" s="16"/>
    </row>
    <row r="3898" spans="4:4">
      <c r="D3898" s="16"/>
    </row>
    <row r="3899" spans="4:4">
      <c r="D3899" s="16"/>
    </row>
    <row r="3900" spans="4:4">
      <c r="D3900" s="16"/>
    </row>
    <row r="3901" spans="4:4">
      <c r="D3901" s="16"/>
    </row>
    <row r="3902" spans="4:4">
      <c r="D3902" s="16"/>
    </row>
    <row r="3903" spans="4:4">
      <c r="D3903" s="16"/>
    </row>
    <row r="3904" spans="4:4">
      <c r="D3904" s="16"/>
    </row>
    <row r="3905" spans="4:4">
      <c r="D3905" s="16"/>
    </row>
    <row r="3906" spans="4:4">
      <c r="D3906" s="16"/>
    </row>
    <row r="3907" spans="4:4">
      <c r="D3907" s="16"/>
    </row>
    <row r="3908" spans="4:4">
      <c r="D3908" s="16"/>
    </row>
    <row r="3909" spans="4:4">
      <c r="D3909" s="16"/>
    </row>
    <row r="3910" spans="4:4">
      <c r="D3910" s="16"/>
    </row>
    <row r="3911" spans="4:4">
      <c r="D3911" s="16"/>
    </row>
    <row r="3912" spans="4:4">
      <c r="D3912" s="16"/>
    </row>
    <row r="3913" spans="4:4">
      <c r="D3913" s="16"/>
    </row>
    <row r="3914" spans="4:4">
      <c r="D3914" s="16"/>
    </row>
    <row r="3915" spans="4:4">
      <c r="D3915" s="16"/>
    </row>
    <row r="3916" spans="4:4">
      <c r="D3916" s="16"/>
    </row>
    <row r="3917" spans="4:4">
      <c r="D3917" s="16"/>
    </row>
    <row r="3918" spans="4:4">
      <c r="D3918" s="16"/>
    </row>
    <row r="3919" spans="4:4">
      <c r="D3919" s="16"/>
    </row>
    <row r="3920" spans="4:4">
      <c r="D3920" s="16"/>
    </row>
    <row r="3921" spans="4:4">
      <c r="D3921" s="16"/>
    </row>
    <row r="3922" spans="4:4">
      <c r="D3922" s="16"/>
    </row>
    <row r="3923" spans="4:4">
      <c r="D3923" s="16"/>
    </row>
    <row r="3924" spans="4:4">
      <c r="D3924" s="16"/>
    </row>
    <row r="3925" spans="4:4">
      <c r="D3925" s="16"/>
    </row>
    <row r="3926" spans="4:4">
      <c r="D3926" s="16"/>
    </row>
    <row r="3927" spans="4:4">
      <c r="D3927" s="16"/>
    </row>
    <row r="3928" spans="4:4">
      <c r="D3928" s="16"/>
    </row>
    <row r="3929" spans="4:4">
      <c r="D3929" s="16"/>
    </row>
    <row r="3930" spans="4:4">
      <c r="D3930" s="16"/>
    </row>
    <row r="3931" spans="4:4">
      <c r="D3931" s="16"/>
    </row>
    <row r="3932" spans="4:4">
      <c r="D3932" s="16"/>
    </row>
    <row r="3933" spans="4:4">
      <c r="D3933" s="16"/>
    </row>
    <row r="3934" spans="4:4">
      <c r="D3934" s="16"/>
    </row>
    <row r="3935" spans="4:4">
      <c r="D3935" s="16"/>
    </row>
    <row r="3936" spans="4:4">
      <c r="D3936" s="16"/>
    </row>
    <row r="3937" spans="4:4">
      <c r="D3937" s="16"/>
    </row>
    <row r="3938" spans="4:4">
      <c r="D3938" s="16"/>
    </row>
    <row r="3939" spans="4:4">
      <c r="D3939" s="16"/>
    </row>
    <row r="3940" spans="4:4">
      <c r="D3940" s="16"/>
    </row>
    <row r="3941" spans="4:4">
      <c r="D3941" s="16"/>
    </row>
    <row r="3942" spans="4:4">
      <c r="D3942" s="16"/>
    </row>
    <row r="3943" spans="4:4">
      <c r="D3943" s="16"/>
    </row>
    <row r="3944" spans="4:4">
      <c r="D3944" s="16"/>
    </row>
    <row r="3945" spans="4:4">
      <c r="D3945" s="16"/>
    </row>
    <row r="3946" spans="4:4">
      <c r="D3946" s="16"/>
    </row>
    <row r="3947" spans="4:4">
      <c r="D3947" s="16"/>
    </row>
    <row r="3948" spans="4:4">
      <c r="D3948" s="16"/>
    </row>
    <row r="3949" spans="4:4">
      <c r="D3949" s="16"/>
    </row>
    <row r="3950" spans="4:4">
      <c r="D3950" s="16"/>
    </row>
    <row r="3951" spans="4:4">
      <c r="D3951" s="16"/>
    </row>
    <row r="3952" spans="4:4">
      <c r="D3952" s="16"/>
    </row>
    <row r="3953" spans="4:4">
      <c r="D3953" s="16"/>
    </row>
    <row r="3954" spans="4:4">
      <c r="D3954" s="16"/>
    </row>
    <row r="3955" spans="4:4">
      <c r="D3955" s="16"/>
    </row>
    <row r="3956" spans="4:4">
      <c r="D3956" s="16"/>
    </row>
    <row r="3957" spans="4:4">
      <c r="D3957" s="16"/>
    </row>
    <row r="3958" spans="4:4">
      <c r="D3958" s="16"/>
    </row>
    <row r="3959" spans="4:4">
      <c r="D3959" s="16"/>
    </row>
    <row r="3960" spans="4:4">
      <c r="D3960" s="16"/>
    </row>
    <row r="3961" spans="4:4">
      <c r="D3961" s="16"/>
    </row>
    <row r="3962" spans="4:4">
      <c r="D3962" s="16"/>
    </row>
    <row r="3963" spans="4:4">
      <c r="D3963" s="16"/>
    </row>
    <row r="3964" spans="4:4">
      <c r="D3964" s="16"/>
    </row>
    <row r="3965" spans="4:4">
      <c r="D3965" s="16"/>
    </row>
    <row r="3966" spans="4:4">
      <c r="D3966" s="16"/>
    </row>
    <row r="3967" spans="4:4">
      <c r="D3967" s="16"/>
    </row>
    <row r="3968" spans="4:4">
      <c r="D3968" s="16"/>
    </row>
    <row r="3969" spans="4:4">
      <c r="D3969" s="16"/>
    </row>
    <row r="3970" spans="4:4">
      <c r="D3970" s="16"/>
    </row>
    <row r="3971" spans="4:4">
      <c r="D3971" s="16"/>
    </row>
    <row r="3972" spans="4:4">
      <c r="D3972" s="16"/>
    </row>
    <row r="3973" spans="4:4">
      <c r="D3973" s="16"/>
    </row>
    <row r="3974" spans="4:4">
      <c r="D3974" s="16"/>
    </row>
    <row r="3975" spans="4:4">
      <c r="D3975" s="16"/>
    </row>
    <row r="3976" spans="4:4">
      <c r="D3976" s="16"/>
    </row>
    <row r="3977" spans="4:4">
      <c r="D3977" s="16"/>
    </row>
    <row r="3978" spans="4:4">
      <c r="D3978" s="16"/>
    </row>
    <row r="3979" spans="4:4">
      <c r="D3979" s="16"/>
    </row>
    <row r="3980" spans="4:4">
      <c r="D3980" s="16"/>
    </row>
    <row r="3981" spans="4:4">
      <c r="D3981" s="16"/>
    </row>
    <row r="3982" spans="4:4">
      <c r="D3982" s="16"/>
    </row>
    <row r="3983" spans="4:4">
      <c r="D3983" s="16"/>
    </row>
    <row r="3984" spans="4:4">
      <c r="D3984" s="16"/>
    </row>
    <row r="3985" spans="4:4">
      <c r="D3985" s="16"/>
    </row>
    <row r="3986" spans="4:4">
      <c r="D3986" s="16"/>
    </row>
    <row r="3987" spans="4:4">
      <c r="D3987" s="16"/>
    </row>
    <row r="3988" spans="4:4">
      <c r="D3988" s="16"/>
    </row>
    <row r="3989" spans="4:4">
      <c r="D3989" s="16"/>
    </row>
    <row r="3990" spans="4:4">
      <c r="D3990" s="16"/>
    </row>
    <row r="3991" spans="4:4">
      <c r="D3991" s="16"/>
    </row>
    <row r="3992" spans="4:4">
      <c r="D3992" s="16"/>
    </row>
    <row r="3993" spans="4:4">
      <c r="D3993" s="16"/>
    </row>
    <row r="3994" spans="4:4">
      <c r="D3994" s="16"/>
    </row>
    <row r="3995" spans="4:4">
      <c r="D3995" s="16"/>
    </row>
    <row r="3996" spans="4:4">
      <c r="D3996" s="16"/>
    </row>
    <row r="3997" spans="4:4">
      <c r="D3997" s="16"/>
    </row>
    <row r="3998" spans="4:4">
      <c r="D3998" s="16"/>
    </row>
    <row r="3999" spans="4:4">
      <c r="D3999" s="16"/>
    </row>
    <row r="4000" spans="4:4">
      <c r="D4000" s="16"/>
    </row>
    <row r="4001" spans="4:4">
      <c r="D4001" s="16"/>
    </row>
    <row r="4002" spans="4:4">
      <c r="D4002" s="16"/>
    </row>
    <row r="4003" spans="4:4">
      <c r="D4003" s="16"/>
    </row>
    <row r="4004" spans="4:4">
      <c r="D4004" s="16"/>
    </row>
    <row r="4005" spans="4:4">
      <c r="D4005" s="16"/>
    </row>
    <row r="4006" spans="4:4">
      <c r="D4006" s="16"/>
    </row>
    <row r="4007" spans="4:4">
      <c r="D4007" s="16"/>
    </row>
    <row r="4008" spans="4:4">
      <c r="D4008" s="16"/>
    </row>
    <row r="4009" spans="4:4">
      <c r="D4009" s="16"/>
    </row>
    <row r="4010" spans="4:4">
      <c r="D4010" s="16"/>
    </row>
    <row r="4011" spans="4:4">
      <c r="D4011" s="16"/>
    </row>
    <row r="4012" spans="4:4">
      <c r="D4012" s="16"/>
    </row>
    <row r="4013" spans="4:4">
      <c r="D4013" s="16"/>
    </row>
    <row r="4014" spans="4:4">
      <c r="D4014" s="16"/>
    </row>
    <row r="4015" spans="4:4">
      <c r="D4015" s="16"/>
    </row>
    <row r="4016" spans="4:4">
      <c r="D4016" s="16"/>
    </row>
    <row r="4017" spans="4:4">
      <c r="D4017" s="16"/>
    </row>
    <row r="4018" spans="4:4">
      <c r="D4018" s="16"/>
    </row>
    <row r="4019" spans="4:4">
      <c r="D4019" s="16"/>
    </row>
    <row r="4020" spans="4:4">
      <c r="D4020" s="16"/>
    </row>
    <row r="4021" spans="4:4">
      <c r="D4021" s="16"/>
    </row>
    <row r="4022" spans="4:4">
      <c r="D4022" s="16"/>
    </row>
    <row r="4023" spans="4:4">
      <c r="D4023" s="16"/>
    </row>
    <row r="4024" spans="4:4">
      <c r="D4024" s="16"/>
    </row>
    <row r="4025" spans="4:4">
      <c r="D4025" s="16"/>
    </row>
    <row r="4026" spans="4:4">
      <c r="D4026" s="16"/>
    </row>
    <row r="4027" spans="4:4">
      <c r="D4027" s="16"/>
    </row>
    <row r="4028" spans="4:4">
      <c r="D4028" s="16"/>
    </row>
    <row r="4029" spans="4:4">
      <c r="D4029" s="16"/>
    </row>
    <row r="4030" spans="4:4">
      <c r="D4030" s="16"/>
    </row>
    <row r="4031" spans="4:4">
      <c r="D4031" s="16"/>
    </row>
    <row r="4032" spans="4:4">
      <c r="D4032" s="16"/>
    </row>
    <row r="4033" spans="4:4">
      <c r="D4033" s="16"/>
    </row>
    <row r="4034" spans="4:4">
      <c r="D4034" s="16"/>
    </row>
    <row r="4035" spans="4:4">
      <c r="D4035" s="16"/>
    </row>
    <row r="4036" spans="4:4">
      <c r="D4036" s="16"/>
    </row>
    <row r="4037" spans="4:4">
      <c r="D4037" s="16"/>
    </row>
    <row r="4038" spans="4:4">
      <c r="D4038" s="16"/>
    </row>
    <row r="4039" spans="4:4">
      <c r="D4039" s="16"/>
    </row>
    <row r="4040" spans="4:4">
      <c r="D4040" s="16"/>
    </row>
    <row r="4041" spans="4:4">
      <c r="D4041" s="16"/>
    </row>
    <row r="4042" spans="4:4">
      <c r="D4042" s="16"/>
    </row>
    <row r="4043" spans="4:4">
      <c r="D4043" s="16"/>
    </row>
    <row r="4044" spans="4:4">
      <c r="D4044" s="16"/>
    </row>
    <row r="4045" spans="4:4">
      <c r="D4045" s="16"/>
    </row>
    <row r="4046" spans="4:4">
      <c r="D4046" s="16"/>
    </row>
    <row r="4047" spans="4:4">
      <c r="D4047" s="16"/>
    </row>
    <row r="4048" spans="4:4">
      <c r="D4048" s="16"/>
    </row>
    <row r="4049" spans="4:4">
      <c r="D4049" s="16"/>
    </row>
    <row r="4050" spans="4:4">
      <c r="D4050" s="16"/>
    </row>
    <row r="4051" spans="4:4">
      <c r="D4051" s="16"/>
    </row>
    <row r="4052" spans="4:4">
      <c r="D4052" s="16"/>
    </row>
    <row r="4053" spans="4:4">
      <c r="D4053" s="16"/>
    </row>
    <row r="4054" spans="4:4">
      <c r="D4054" s="16"/>
    </row>
    <row r="4055" spans="4:4">
      <c r="D4055" s="16"/>
    </row>
    <row r="4056" spans="4:4">
      <c r="D4056" s="16"/>
    </row>
    <row r="4057" spans="4:4">
      <c r="D4057" s="16"/>
    </row>
    <row r="4058" spans="4:4">
      <c r="D4058" s="16"/>
    </row>
    <row r="4059" spans="4:4">
      <c r="D4059" s="16"/>
    </row>
    <row r="4060" spans="4:4">
      <c r="D4060" s="16"/>
    </row>
    <row r="4061" spans="4:4">
      <c r="D4061" s="16"/>
    </row>
    <row r="4062" spans="4:4">
      <c r="D4062" s="16"/>
    </row>
    <row r="4063" spans="4:4">
      <c r="D4063" s="16"/>
    </row>
    <row r="4064" spans="4:4">
      <c r="D4064" s="16"/>
    </row>
    <row r="4065" spans="4:4">
      <c r="D4065" s="16"/>
    </row>
    <row r="4066" spans="4:4">
      <c r="D4066" s="16"/>
    </row>
    <row r="4067" spans="4:4">
      <c r="D4067" s="16"/>
    </row>
    <row r="4068" spans="4:4">
      <c r="D4068" s="16"/>
    </row>
    <row r="4069" spans="4:4">
      <c r="D4069" s="16"/>
    </row>
    <row r="4070" spans="4:4">
      <c r="D4070" s="16"/>
    </row>
    <row r="4071" spans="4:4">
      <c r="D4071" s="16"/>
    </row>
    <row r="4072" spans="4:4">
      <c r="D4072" s="16"/>
    </row>
    <row r="4073" spans="4:4">
      <c r="D4073" s="16"/>
    </row>
    <row r="4074" spans="4:4">
      <c r="D4074" s="16"/>
    </row>
    <row r="4075" spans="4:4">
      <c r="D4075" s="16"/>
    </row>
    <row r="4076" spans="4:4">
      <c r="D4076" s="16"/>
    </row>
    <row r="4077" spans="4:4">
      <c r="D4077" s="16"/>
    </row>
    <row r="4078" spans="4:4">
      <c r="D4078" s="16"/>
    </row>
    <row r="4079" spans="4:4">
      <c r="D4079" s="16"/>
    </row>
    <row r="4080" spans="4:4">
      <c r="D4080" s="16"/>
    </row>
    <row r="4081" spans="4:4">
      <c r="D4081" s="16"/>
    </row>
    <row r="4082" spans="4:4">
      <c r="D4082" s="16"/>
    </row>
    <row r="4083" spans="4:4">
      <c r="D4083" s="16"/>
    </row>
    <row r="4084" spans="4:4">
      <c r="D4084" s="16"/>
    </row>
    <row r="4085" spans="4:4">
      <c r="D4085" s="16"/>
    </row>
    <row r="4086" spans="4:4">
      <c r="D4086" s="16"/>
    </row>
    <row r="4087" spans="4:4">
      <c r="D4087" s="16"/>
    </row>
    <row r="4088" spans="4:4">
      <c r="D4088" s="16"/>
    </row>
    <row r="4089" spans="4:4">
      <c r="D4089" s="16"/>
    </row>
    <row r="4090" spans="4:4">
      <c r="D4090" s="16"/>
    </row>
    <row r="4091" spans="4:4">
      <c r="D4091" s="16"/>
    </row>
    <row r="4092" spans="4:4">
      <c r="D4092" s="16"/>
    </row>
    <row r="4093" spans="4:4">
      <c r="D4093" s="16"/>
    </row>
    <row r="4094" spans="4:4">
      <c r="D4094" s="16"/>
    </row>
    <row r="4095" spans="4:4">
      <c r="D4095" s="16"/>
    </row>
    <row r="4096" spans="4:4">
      <c r="D4096" s="16"/>
    </row>
    <row r="4097" spans="4:4">
      <c r="D4097" s="16"/>
    </row>
    <row r="4098" spans="4:4">
      <c r="D4098" s="16"/>
    </row>
    <row r="4099" spans="4:4">
      <c r="D4099" s="16"/>
    </row>
    <row r="4100" spans="4:4">
      <c r="D4100" s="16"/>
    </row>
    <row r="4101" spans="4:4">
      <c r="D4101" s="16"/>
    </row>
    <row r="4102" spans="4:4">
      <c r="D4102" s="16"/>
    </row>
    <row r="4103" spans="4:4">
      <c r="D4103" s="16"/>
    </row>
    <row r="4104" spans="4:4">
      <c r="D4104" s="16"/>
    </row>
    <row r="4105" spans="4:4">
      <c r="D4105" s="16"/>
    </row>
    <row r="4106" spans="4:4">
      <c r="D4106" s="16"/>
    </row>
    <row r="4107" spans="4:4">
      <c r="D4107" s="16"/>
    </row>
    <row r="4108" spans="4:4">
      <c r="D4108" s="16"/>
    </row>
    <row r="4109" spans="4:4">
      <c r="D4109" s="16"/>
    </row>
    <row r="4110" spans="4:4">
      <c r="D4110" s="16"/>
    </row>
    <row r="4111" spans="4:4">
      <c r="D4111" s="16"/>
    </row>
    <row r="4112" spans="4:4">
      <c r="D4112" s="16"/>
    </row>
    <row r="4113" spans="4:4">
      <c r="D4113" s="16"/>
    </row>
    <row r="4114" spans="4:4">
      <c r="D4114" s="16"/>
    </row>
    <row r="4115" spans="4:4">
      <c r="D4115" s="16"/>
    </row>
    <row r="4116" spans="4:4">
      <c r="D4116" s="16"/>
    </row>
    <row r="4117" spans="4:4">
      <c r="D4117" s="16"/>
    </row>
    <row r="4118" spans="4:4">
      <c r="D4118" s="16"/>
    </row>
    <row r="4119" spans="4:4">
      <c r="D4119" s="16"/>
    </row>
    <row r="4120" spans="4:4">
      <c r="D4120" s="16"/>
    </row>
    <row r="4121" spans="4:4">
      <c r="D4121" s="16"/>
    </row>
    <row r="4122" spans="4:4">
      <c r="D4122" s="16"/>
    </row>
    <row r="4123" spans="4:4">
      <c r="D4123" s="16"/>
    </row>
    <row r="4124" spans="4:4">
      <c r="D4124" s="16"/>
    </row>
    <row r="4125" spans="4:4">
      <c r="D4125" s="16"/>
    </row>
    <row r="4126" spans="4:4">
      <c r="D4126" s="16"/>
    </row>
    <row r="4127" spans="4:4">
      <c r="D4127" s="16"/>
    </row>
    <row r="4128" spans="4:4">
      <c r="D4128" s="16"/>
    </row>
    <row r="4129" spans="4:4">
      <c r="D4129" s="16"/>
    </row>
    <row r="4130" spans="4:4">
      <c r="D4130" s="16"/>
    </row>
    <row r="4131" spans="4:4">
      <c r="D4131" s="16"/>
    </row>
    <row r="4132" spans="4:4">
      <c r="D4132" s="16"/>
    </row>
    <row r="4133" spans="4:4">
      <c r="D4133" s="16"/>
    </row>
    <row r="4134" spans="4:4">
      <c r="D4134" s="16"/>
    </row>
    <row r="4135" spans="4:4">
      <c r="D4135" s="16"/>
    </row>
    <row r="4136" spans="4:4">
      <c r="D4136" s="16"/>
    </row>
    <row r="4137" spans="4:4">
      <c r="D4137" s="16"/>
    </row>
    <row r="4138" spans="4:4">
      <c r="D4138" s="16"/>
    </row>
    <row r="4139" spans="4:4">
      <c r="D4139" s="16"/>
    </row>
    <row r="4140" spans="4:4">
      <c r="D4140" s="16"/>
    </row>
    <row r="4141" spans="4:4">
      <c r="D4141" s="16"/>
    </row>
    <row r="4142" spans="4:4">
      <c r="D4142" s="16"/>
    </row>
    <row r="4143" spans="4:4">
      <c r="D4143" s="16"/>
    </row>
    <row r="4144" spans="4:4">
      <c r="D4144" s="16"/>
    </row>
    <row r="4145" spans="4:4">
      <c r="D4145" s="16"/>
    </row>
    <row r="4146" spans="4:4">
      <c r="D4146" s="16"/>
    </row>
    <row r="4147" spans="4:4">
      <c r="D4147" s="16"/>
    </row>
    <row r="4148" spans="4:4">
      <c r="D4148" s="16"/>
    </row>
    <row r="4149" spans="4:4">
      <c r="D4149" s="16"/>
    </row>
    <row r="4150" spans="4:4">
      <c r="D4150" s="16"/>
    </row>
    <row r="4151" spans="4:4">
      <c r="D4151" s="16"/>
    </row>
    <row r="4152" spans="4:4">
      <c r="D4152" s="16"/>
    </row>
    <row r="4153" spans="4:4">
      <c r="D4153" s="16"/>
    </row>
    <row r="4154" spans="4:4">
      <c r="D4154" s="16"/>
    </row>
    <row r="4155" spans="4:4">
      <c r="D4155" s="16"/>
    </row>
    <row r="4156" spans="4:4">
      <c r="D4156" s="16"/>
    </row>
    <row r="4157" spans="4:4">
      <c r="D4157" s="16"/>
    </row>
    <row r="4158" spans="4:4">
      <c r="D4158" s="16"/>
    </row>
    <row r="4159" spans="4:4">
      <c r="D4159" s="16"/>
    </row>
    <row r="4160" spans="4:4">
      <c r="D4160" s="16"/>
    </row>
    <row r="4161" spans="4:4">
      <c r="D4161" s="16"/>
    </row>
    <row r="4162" spans="4:4">
      <c r="D4162" s="16"/>
    </row>
    <row r="4163" spans="4:4">
      <c r="D4163" s="16"/>
    </row>
    <row r="4164" spans="4:4">
      <c r="D4164" s="16"/>
    </row>
    <row r="4165" spans="4:4">
      <c r="D4165" s="16"/>
    </row>
    <row r="4166" spans="4:4">
      <c r="D4166" s="16"/>
    </row>
    <row r="4167" spans="4:4">
      <c r="D4167" s="16"/>
    </row>
    <row r="4168" spans="4:4">
      <c r="D4168" s="16"/>
    </row>
    <row r="4169" spans="4:4">
      <c r="D4169" s="16"/>
    </row>
    <row r="4170" spans="4:4">
      <c r="D4170" s="16"/>
    </row>
    <row r="4171" spans="4:4">
      <c r="D4171" s="16"/>
    </row>
    <row r="4172" spans="4:4">
      <c r="D4172" s="16"/>
    </row>
    <row r="4173" spans="4:4">
      <c r="D4173" s="16"/>
    </row>
    <row r="4174" spans="4:4">
      <c r="D4174" s="16"/>
    </row>
    <row r="4175" spans="4:4">
      <c r="D4175" s="16"/>
    </row>
    <row r="4176" spans="4:4">
      <c r="D4176" s="16"/>
    </row>
    <row r="4177" spans="4:4">
      <c r="D4177" s="16"/>
    </row>
    <row r="4178" spans="4:4">
      <c r="D4178" s="16"/>
    </row>
    <row r="4179" spans="4:4">
      <c r="D4179" s="16"/>
    </row>
    <row r="4180" spans="4:4">
      <c r="D4180" s="16"/>
    </row>
    <row r="4181" spans="4:4">
      <c r="D4181" s="16"/>
    </row>
    <row r="4182" spans="4:4">
      <c r="D4182" s="16"/>
    </row>
    <row r="4183" spans="4:4">
      <c r="D4183" s="16"/>
    </row>
    <row r="4184" spans="4:4">
      <c r="D4184" s="16"/>
    </row>
    <row r="4185" spans="4:4">
      <c r="D4185" s="16"/>
    </row>
    <row r="4186" spans="4:4">
      <c r="D4186" s="16"/>
    </row>
    <row r="4187" spans="4:4">
      <c r="D4187" s="16"/>
    </row>
    <row r="4188" spans="4:4">
      <c r="D4188" s="16"/>
    </row>
    <row r="4189" spans="4:4">
      <c r="D4189" s="16"/>
    </row>
    <row r="4190" spans="4:4">
      <c r="D4190" s="16"/>
    </row>
    <row r="4191" spans="4:4">
      <c r="D4191" s="16"/>
    </row>
    <row r="4192" spans="4:4">
      <c r="D4192" s="16"/>
    </row>
    <row r="4193" spans="4:4">
      <c r="D4193" s="16"/>
    </row>
    <row r="4194" spans="4:4">
      <c r="D4194" s="16"/>
    </row>
    <row r="4195" spans="4:4">
      <c r="D4195" s="16"/>
    </row>
    <row r="4196" spans="4:4">
      <c r="D4196" s="16"/>
    </row>
    <row r="4197" spans="4:4">
      <c r="D4197" s="16"/>
    </row>
    <row r="4198" spans="4:4">
      <c r="D4198" s="16"/>
    </row>
    <row r="4199" spans="4:4">
      <c r="D4199" s="16"/>
    </row>
    <row r="4200" spans="4:4">
      <c r="D4200" s="16"/>
    </row>
    <row r="4201" spans="4:4">
      <c r="D4201" s="16"/>
    </row>
    <row r="4202" spans="4:4">
      <c r="D4202" s="16"/>
    </row>
    <row r="4203" spans="4:4">
      <c r="D4203" s="16"/>
    </row>
    <row r="4204" spans="4:4">
      <c r="D4204" s="16"/>
    </row>
    <row r="4205" spans="4:4">
      <c r="D4205" s="16"/>
    </row>
    <row r="4206" spans="4:4">
      <c r="D4206" s="16"/>
    </row>
    <row r="4207" spans="4:4">
      <c r="D4207" s="16"/>
    </row>
    <row r="4208" spans="4:4">
      <c r="D4208" s="16"/>
    </row>
    <row r="4209" spans="4:4">
      <c r="D4209" s="16"/>
    </row>
    <row r="4210" spans="4:4">
      <c r="D4210" s="16"/>
    </row>
    <row r="4211" spans="4:4">
      <c r="D4211" s="16"/>
    </row>
    <row r="4212" spans="4:4">
      <c r="D4212" s="16"/>
    </row>
    <row r="4213" spans="4:4">
      <c r="D4213" s="16"/>
    </row>
    <row r="4214" spans="4:4">
      <c r="D4214" s="16"/>
    </row>
    <row r="4215" spans="4:4">
      <c r="D4215" s="16"/>
    </row>
    <row r="4216" spans="4:4">
      <c r="D4216" s="16"/>
    </row>
    <row r="4217" spans="4:4">
      <c r="D4217" s="16"/>
    </row>
    <row r="4218" spans="4:4">
      <c r="D4218" s="16"/>
    </row>
    <row r="4219" spans="4:4">
      <c r="D4219" s="16"/>
    </row>
    <row r="4220" spans="4:4">
      <c r="D4220" s="16"/>
    </row>
    <row r="4221" spans="4:4">
      <c r="D4221" s="16"/>
    </row>
    <row r="4222" spans="4:4">
      <c r="D4222" s="16"/>
    </row>
    <row r="4223" spans="4:4">
      <c r="D4223" s="16"/>
    </row>
    <row r="4224" spans="4:4">
      <c r="D4224" s="16"/>
    </row>
    <row r="4225" spans="4:4">
      <c r="D4225" s="16"/>
    </row>
    <row r="4226" spans="4:4">
      <c r="D4226" s="16"/>
    </row>
    <row r="4227" spans="4:4">
      <c r="D4227" s="16"/>
    </row>
    <row r="4228" spans="4:4">
      <c r="D4228" s="16"/>
    </row>
    <row r="4229" spans="4:4">
      <c r="D4229" s="16"/>
    </row>
    <row r="4230" spans="4:4">
      <c r="D4230" s="16"/>
    </row>
    <row r="4231" spans="4:4">
      <c r="D4231" s="16"/>
    </row>
    <row r="4232" spans="4:4">
      <c r="D4232" s="16"/>
    </row>
    <row r="4233" spans="4:4">
      <c r="D4233" s="16"/>
    </row>
    <row r="4234" spans="4:4">
      <c r="D4234" s="16"/>
    </row>
    <row r="4235" spans="4:4">
      <c r="D4235" s="16"/>
    </row>
    <row r="4236" spans="4:4">
      <c r="D4236" s="16"/>
    </row>
    <row r="4237" spans="4:4">
      <c r="D4237" s="16"/>
    </row>
    <row r="4238" spans="4:4">
      <c r="D4238" s="16"/>
    </row>
    <row r="4239" spans="4:4">
      <c r="D4239" s="16"/>
    </row>
    <row r="4240" spans="4:4">
      <c r="D4240" s="16"/>
    </row>
    <row r="4241" spans="4:4">
      <c r="D4241" s="16"/>
    </row>
    <row r="4242" spans="4:4">
      <c r="D4242" s="16"/>
    </row>
    <row r="4243" spans="4:4">
      <c r="D4243" s="16"/>
    </row>
    <row r="4244" spans="4:4">
      <c r="D4244" s="16"/>
    </row>
    <row r="4245" spans="4:4">
      <c r="D4245" s="16"/>
    </row>
    <row r="4246" spans="4:4">
      <c r="D4246" s="16"/>
    </row>
    <row r="4247" spans="4:4">
      <c r="D4247" s="16"/>
    </row>
    <row r="4248" spans="4:4">
      <c r="D4248" s="16"/>
    </row>
    <row r="4249" spans="4:4">
      <c r="D4249" s="16"/>
    </row>
    <row r="4250" spans="4:4">
      <c r="D4250" s="16"/>
    </row>
    <row r="4251" spans="4:4">
      <c r="D4251" s="16"/>
    </row>
    <row r="4252" spans="4:4">
      <c r="D4252" s="16"/>
    </row>
    <row r="4253" spans="4:4">
      <c r="D4253" s="16"/>
    </row>
    <row r="4254" spans="4:4">
      <c r="D4254" s="16"/>
    </row>
    <row r="4255" spans="4:4">
      <c r="D4255" s="16"/>
    </row>
    <row r="4256" spans="4:4">
      <c r="D4256" s="16"/>
    </row>
    <row r="4257" spans="4:4">
      <c r="D4257" s="16"/>
    </row>
    <row r="4258" spans="4:4">
      <c r="D4258" s="16"/>
    </row>
    <row r="4259" spans="4:4">
      <c r="D4259" s="16"/>
    </row>
    <row r="4260" spans="4:4">
      <c r="D4260" s="16"/>
    </row>
    <row r="4261" spans="4:4">
      <c r="D4261" s="16"/>
    </row>
    <row r="4262" spans="4:4">
      <c r="D4262" s="16"/>
    </row>
    <row r="4263" spans="4:4">
      <c r="D4263" s="16"/>
    </row>
    <row r="4264" spans="4:4">
      <c r="D4264" s="16"/>
    </row>
    <row r="4265" spans="4:4">
      <c r="D4265" s="16"/>
    </row>
    <row r="4266" spans="4:4">
      <c r="D4266" s="16"/>
    </row>
    <row r="4267" spans="4:4">
      <c r="D4267" s="16"/>
    </row>
    <row r="4268" spans="4:4">
      <c r="D4268" s="16"/>
    </row>
    <row r="4269" spans="4:4">
      <c r="D4269" s="16"/>
    </row>
    <row r="4270" spans="4:4">
      <c r="D4270" s="16"/>
    </row>
    <row r="4271" spans="4:4">
      <c r="D4271" s="16"/>
    </row>
    <row r="4272" spans="4:4">
      <c r="D4272" s="16"/>
    </row>
    <row r="4273" spans="4:4">
      <c r="D4273" s="16"/>
    </row>
    <row r="4274" spans="4:4">
      <c r="D4274" s="16"/>
    </row>
    <row r="4275" spans="4:4">
      <c r="D4275" s="16"/>
    </row>
    <row r="4276" spans="4:4">
      <c r="D4276" s="16"/>
    </row>
    <row r="4277" spans="4:4">
      <c r="D4277" s="16"/>
    </row>
    <row r="4278" spans="4:4">
      <c r="D4278" s="16"/>
    </row>
    <row r="4279" spans="4:4">
      <c r="D4279" s="16"/>
    </row>
    <row r="4280" spans="4:4">
      <c r="D4280" s="16"/>
    </row>
    <row r="4281" spans="4:4">
      <c r="D4281" s="16"/>
    </row>
    <row r="4282" spans="4:4">
      <c r="D4282" s="16"/>
    </row>
    <row r="4283" spans="4:4">
      <c r="D4283" s="16"/>
    </row>
    <row r="4284" spans="4:4">
      <c r="D4284" s="16"/>
    </row>
    <row r="4285" spans="4:4">
      <c r="D4285" s="16"/>
    </row>
    <row r="4286" spans="4:4">
      <c r="D4286" s="16"/>
    </row>
    <row r="4287" spans="4:4">
      <c r="D4287" s="16"/>
    </row>
    <row r="4288" spans="4:4">
      <c r="D4288" s="16"/>
    </row>
    <row r="4289" spans="4:4">
      <c r="D4289" s="16"/>
    </row>
    <row r="4290" spans="4:4">
      <c r="D4290" s="16"/>
    </row>
    <row r="4291" spans="4:4">
      <c r="D4291" s="16"/>
    </row>
    <row r="4292" spans="4:4">
      <c r="D4292" s="16"/>
    </row>
    <row r="4293" spans="4:4">
      <c r="D4293" s="16"/>
    </row>
    <row r="4294" spans="4:4">
      <c r="D4294" s="16"/>
    </row>
    <row r="4295" spans="4:4">
      <c r="D4295" s="16"/>
    </row>
    <row r="4296" spans="4:4">
      <c r="D4296" s="16"/>
    </row>
    <row r="4297" spans="4:4">
      <c r="D4297" s="16"/>
    </row>
    <row r="4298" spans="4:4">
      <c r="D4298" s="16"/>
    </row>
    <row r="4299" spans="4:4">
      <c r="D4299" s="16"/>
    </row>
    <row r="4300" spans="4:4">
      <c r="D4300" s="16"/>
    </row>
    <row r="4301" spans="4:4">
      <c r="D4301" s="16"/>
    </row>
    <row r="4302" spans="4:4">
      <c r="D4302" s="16"/>
    </row>
    <row r="4303" spans="4:4">
      <c r="D4303" s="16"/>
    </row>
    <row r="4304" spans="4:4">
      <c r="D4304" s="16"/>
    </row>
    <row r="4305" spans="4:4">
      <c r="D4305" s="16"/>
    </row>
    <row r="4306" spans="4:4">
      <c r="D4306" s="16"/>
    </row>
    <row r="4307" spans="4:4">
      <c r="D4307" s="16"/>
    </row>
    <row r="4308" spans="4:4">
      <c r="D4308" s="16"/>
    </row>
    <row r="4309" spans="4:4">
      <c r="D4309" s="16"/>
    </row>
    <row r="4310" spans="4:4">
      <c r="D4310" s="16"/>
    </row>
    <row r="4311" spans="4:4">
      <c r="D4311" s="16"/>
    </row>
    <row r="4312" spans="4:4">
      <c r="D4312" s="16"/>
    </row>
    <row r="4313" spans="4:4">
      <c r="D4313" s="16"/>
    </row>
    <row r="4314" spans="4:4">
      <c r="D4314" s="16"/>
    </row>
    <row r="4315" spans="4:4">
      <c r="D4315" s="16"/>
    </row>
    <row r="4316" spans="4:4">
      <c r="D4316" s="16"/>
    </row>
    <row r="4317" spans="4:4">
      <c r="D4317" s="16"/>
    </row>
    <row r="4318" spans="4:4">
      <c r="D4318" s="16"/>
    </row>
    <row r="4319" spans="4:4">
      <c r="D4319" s="16"/>
    </row>
    <row r="4320" spans="4:4">
      <c r="D4320" s="16"/>
    </row>
    <row r="4321" spans="4:4">
      <c r="D4321" s="16"/>
    </row>
    <row r="4322" spans="4:4">
      <c r="D4322" s="16"/>
    </row>
    <row r="4323" spans="4:4">
      <c r="D4323" s="16"/>
    </row>
    <row r="4324" spans="4:4">
      <c r="D4324" s="16"/>
    </row>
    <row r="4325" spans="4:4">
      <c r="D4325" s="16"/>
    </row>
    <row r="4326" spans="4:4">
      <c r="D4326" s="16"/>
    </row>
    <row r="4327" spans="4:4">
      <c r="D4327" s="16"/>
    </row>
    <row r="4328" spans="4:4">
      <c r="D4328" s="16"/>
    </row>
    <row r="4329" spans="4:4">
      <c r="D4329" s="16"/>
    </row>
    <row r="4330" spans="4:4">
      <c r="D4330" s="16"/>
    </row>
    <row r="4331" spans="4:4">
      <c r="D4331" s="16"/>
    </row>
    <row r="4332" spans="4:4">
      <c r="D4332" s="16"/>
    </row>
    <row r="4333" spans="4:4">
      <c r="D4333" s="16"/>
    </row>
    <row r="4334" spans="4:4">
      <c r="D4334" s="16"/>
    </row>
    <row r="4335" spans="4:4">
      <c r="D4335" s="16"/>
    </row>
    <row r="4336" spans="4:4">
      <c r="D4336" s="16"/>
    </row>
    <row r="4337" spans="4:4">
      <c r="D4337" s="16"/>
    </row>
    <row r="4338" spans="4:4">
      <c r="D4338" s="16"/>
    </row>
    <row r="4339" spans="4:4">
      <c r="D4339" s="16"/>
    </row>
    <row r="4340" spans="4:4">
      <c r="D4340" s="16"/>
    </row>
    <row r="4341" spans="4:4">
      <c r="D4341" s="16"/>
    </row>
    <row r="4342" spans="4:4">
      <c r="D4342" s="16"/>
    </row>
    <row r="4343" spans="4:4">
      <c r="D4343" s="16"/>
    </row>
    <row r="4344" spans="4:4">
      <c r="D4344" s="16"/>
    </row>
    <row r="4345" spans="4:4">
      <c r="D4345" s="16"/>
    </row>
    <row r="4346" spans="4:4">
      <c r="D4346" s="16"/>
    </row>
    <row r="4347" spans="4:4">
      <c r="D4347" s="16"/>
    </row>
    <row r="4348" spans="4:4">
      <c r="D4348" s="16"/>
    </row>
    <row r="4349" spans="4:4">
      <c r="D4349" s="16"/>
    </row>
    <row r="4350" spans="4:4">
      <c r="D4350" s="16"/>
    </row>
    <row r="4351" spans="4:4">
      <c r="D4351" s="16"/>
    </row>
    <row r="4352" spans="4:4">
      <c r="D4352" s="16"/>
    </row>
    <row r="4353" spans="4:4">
      <c r="D4353" s="16"/>
    </row>
    <row r="4354" spans="4:4">
      <c r="D4354" s="16"/>
    </row>
    <row r="4355" spans="4:4">
      <c r="D4355" s="16"/>
    </row>
    <row r="4356" spans="4:4">
      <c r="D4356" s="16"/>
    </row>
    <row r="4357" spans="4:4">
      <c r="D4357" s="16"/>
    </row>
    <row r="4358" spans="4:4">
      <c r="D4358" s="16"/>
    </row>
    <row r="4359" spans="4:4">
      <c r="D4359" s="16"/>
    </row>
    <row r="4360" spans="4:4">
      <c r="D4360" s="16"/>
    </row>
    <row r="4361" spans="4:4">
      <c r="D4361" s="16"/>
    </row>
    <row r="4362" spans="4:4">
      <c r="D4362" s="16"/>
    </row>
    <row r="4363" spans="4:4">
      <c r="D4363" s="16"/>
    </row>
    <row r="4364" spans="4:4">
      <c r="D4364" s="16"/>
    </row>
    <row r="4365" spans="4:4">
      <c r="D4365" s="16"/>
    </row>
    <row r="4366" spans="4:4">
      <c r="D4366" s="16"/>
    </row>
    <row r="4367" spans="4:4">
      <c r="D4367" s="16"/>
    </row>
    <row r="4368" spans="4:4">
      <c r="D4368" s="16"/>
    </row>
    <row r="4369" spans="4:4">
      <c r="D4369" s="16"/>
    </row>
    <row r="4370" spans="4:4">
      <c r="D4370" s="16"/>
    </row>
    <row r="4371" spans="4:4">
      <c r="D4371" s="16"/>
    </row>
    <row r="4372" spans="4:4">
      <c r="D4372" s="16"/>
    </row>
    <row r="4373" spans="4:4">
      <c r="D4373" s="16"/>
    </row>
    <row r="4374" spans="4:4">
      <c r="D4374" s="16"/>
    </row>
    <row r="4375" spans="4:4">
      <c r="D4375" s="16"/>
    </row>
    <row r="4376" spans="4:4">
      <c r="D4376" s="16"/>
    </row>
    <row r="4377" spans="4:4">
      <c r="D4377" s="16"/>
    </row>
    <row r="4378" spans="4:4">
      <c r="D4378" s="16"/>
    </row>
    <row r="4379" spans="4:4">
      <c r="D4379" s="16"/>
    </row>
    <row r="4380" spans="4:4">
      <c r="D4380" s="16"/>
    </row>
    <row r="4381" spans="4:4">
      <c r="D4381" s="16"/>
    </row>
    <row r="4382" spans="4:4">
      <c r="D4382" s="16"/>
    </row>
    <row r="4383" spans="4:4">
      <c r="D4383" s="16"/>
    </row>
    <row r="4384" spans="4:4">
      <c r="D4384" s="16"/>
    </row>
    <row r="4385" spans="4:4">
      <c r="D4385" s="16"/>
    </row>
    <row r="4386" spans="4:4">
      <c r="D4386" s="16"/>
    </row>
    <row r="4387" spans="4:4">
      <c r="D4387" s="16"/>
    </row>
    <row r="4388" spans="4:4">
      <c r="D4388" s="16"/>
    </row>
    <row r="4389" spans="4:4">
      <c r="D4389" s="16"/>
    </row>
    <row r="4390" spans="4:4">
      <c r="D4390" s="16"/>
    </row>
    <row r="4391" spans="4:4">
      <c r="D4391" s="16"/>
    </row>
    <row r="4392" spans="4:4">
      <c r="D4392" s="16"/>
    </row>
    <row r="4393" spans="4:4">
      <c r="D4393" s="16"/>
    </row>
    <row r="4394" spans="4:4">
      <c r="D4394" s="16"/>
    </row>
    <row r="4395" spans="4:4">
      <c r="D4395" s="16"/>
    </row>
    <row r="4396" spans="4:4">
      <c r="D4396" s="16"/>
    </row>
    <row r="4397" spans="4:4">
      <c r="D4397" s="16"/>
    </row>
    <row r="4398" spans="4:4">
      <c r="D4398" s="16"/>
    </row>
    <row r="4399" spans="4:4">
      <c r="D4399" s="16"/>
    </row>
    <row r="4400" spans="4:4">
      <c r="D4400" s="16"/>
    </row>
    <row r="4401" spans="4:4">
      <c r="D4401" s="16"/>
    </row>
    <row r="4402" spans="4:4">
      <c r="D4402" s="16"/>
    </row>
    <row r="4403" spans="4:4">
      <c r="D4403" s="16"/>
    </row>
    <row r="4404" spans="4:4">
      <c r="D4404" s="16"/>
    </row>
    <row r="4405" spans="4:4">
      <c r="D4405" s="16"/>
    </row>
    <row r="4406" spans="4:4">
      <c r="D4406" s="16"/>
    </row>
    <row r="4407" spans="4:4">
      <c r="D4407" s="16"/>
    </row>
    <row r="4408" spans="4:4">
      <c r="D4408" s="16"/>
    </row>
    <row r="4409" spans="4:4">
      <c r="D4409" s="16"/>
    </row>
    <row r="4410" spans="4:4">
      <c r="D4410" s="16"/>
    </row>
    <row r="4411" spans="4:4">
      <c r="D4411" s="16"/>
    </row>
    <row r="4412" spans="4:4">
      <c r="D4412" s="16"/>
    </row>
    <row r="4413" spans="4:4">
      <c r="D4413" s="16"/>
    </row>
    <row r="4414" spans="4:4">
      <c r="D4414" s="16"/>
    </row>
    <row r="4415" spans="4:4">
      <c r="D4415" s="16"/>
    </row>
    <row r="4416" spans="4:4">
      <c r="D4416" s="16"/>
    </row>
    <row r="4417" spans="4:4">
      <c r="D4417" s="16"/>
    </row>
    <row r="4418" spans="4:4">
      <c r="D4418" s="16"/>
    </row>
    <row r="4419" spans="4:4">
      <c r="D4419" s="16"/>
    </row>
    <row r="4420" spans="4:4">
      <c r="D4420" s="16"/>
    </row>
    <row r="4421" spans="4:4">
      <c r="D4421" s="16"/>
    </row>
    <row r="4422" spans="4:4">
      <c r="D4422" s="16"/>
    </row>
    <row r="4423" spans="4:4">
      <c r="D4423" s="16"/>
    </row>
    <row r="4424" spans="4:4">
      <c r="D4424" s="16"/>
    </row>
    <row r="4425" spans="4:4">
      <c r="D4425" s="16"/>
    </row>
    <row r="4426" spans="4:4">
      <c r="D4426" s="16"/>
    </row>
    <row r="4427" spans="4:4">
      <c r="D4427" s="16"/>
    </row>
    <row r="4428" spans="4:4">
      <c r="D4428" s="16"/>
    </row>
    <row r="4429" spans="4:4">
      <c r="D4429" s="16"/>
    </row>
    <row r="4430" spans="4:4">
      <c r="D4430" s="16"/>
    </row>
    <row r="4431" spans="4:4">
      <c r="D4431" s="16"/>
    </row>
    <row r="4432" spans="4:4">
      <c r="D4432" s="16"/>
    </row>
    <row r="4433" spans="4:4">
      <c r="D4433" s="16"/>
    </row>
    <row r="4434" spans="4:4">
      <c r="D4434" s="16"/>
    </row>
    <row r="4435" spans="4:4">
      <c r="D4435" s="16"/>
    </row>
    <row r="4436" spans="4:4">
      <c r="D4436" s="16"/>
    </row>
    <row r="4437" spans="4:4">
      <c r="D4437" s="16"/>
    </row>
    <row r="4438" spans="4:4">
      <c r="D4438" s="16"/>
    </row>
    <row r="4439" spans="4:4">
      <c r="D4439" s="16"/>
    </row>
    <row r="4440" spans="4:4">
      <c r="D4440" s="16"/>
    </row>
    <row r="4441" spans="4:4">
      <c r="D4441" s="16"/>
    </row>
    <row r="4442" spans="4:4">
      <c r="D4442" s="16"/>
    </row>
    <row r="4443" spans="4:4">
      <c r="D4443" s="16"/>
    </row>
    <row r="4444" spans="4:4">
      <c r="D4444" s="16"/>
    </row>
    <row r="4445" spans="4:4">
      <c r="D4445" s="16"/>
    </row>
    <row r="4446" spans="4:4">
      <c r="D4446" s="16"/>
    </row>
    <row r="4447" spans="4:4">
      <c r="D4447" s="16"/>
    </row>
    <row r="4448" spans="4:4">
      <c r="D4448" s="16"/>
    </row>
    <row r="4449" spans="4:4">
      <c r="D4449" s="16"/>
    </row>
    <row r="4450" spans="4:4">
      <c r="D4450" s="16"/>
    </row>
    <row r="4451" spans="4:4">
      <c r="D4451" s="16"/>
    </row>
    <row r="4452" spans="4:4">
      <c r="D4452" s="16"/>
    </row>
    <row r="4453" spans="4:4">
      <c r="D4453" s="16"/>
    </row>
    <row r="4454" spans="4:4">
      <c r="D4454" s="16"/>
    </row>
    <row r="4455" spans="4:4">
      <c r="D4455" s="16"/>
    </row>
    <row r="4456" spans="4:4">
      <c r="D4456" s="16"/>
    </row>
    <row r="4457" spans="4:4">
      <c r="D4457" s="16"/>
    </row>
    <row r="4458" spans="4:4">
      <c r="D4458" s="16"/>
    </row>
    <row r="4459" spans="4:4">
      <c r="D4459" s="16"/>
    </row>
    <row r="4460" spans="4:4">
      <c r="D4460" s="16"/>
    </row>
    <row r="4461" spans="4:4">
      <c r="D4461" s="16"/>
    </row>
    <row r="4462" spans="4:4">
      <c r="D4462" s="16"/>
    </row>
    <row r="4463" spans="4:4">
      <c r="D4463" s="16"/>
    </row>
    <row r="4464" spans="4:4">
      <c r="D4464" s="16"/>
    </row>
    <row r="4465" spans="4:4">
      <c r="D4465" s="16"/>
    </row>
    <row r="4466" spans="4:4">
      <c r="D4466" s="16"/>
    </row>
    <row r="4467" spans="4:4">
      <c r="D4467" s="16"/>
    </row>
    <row r="4468" spans="4:4">
      <c r="D4468" s="16"/>
    </row>
    <row r="4469" spans="4:4">
      <c r="D4469" s="16"/>
    </row>
    <row r="4470" spans="4:4">
      <c r="D4470" s="16"/>
    </row>
    <row r="4471" spans="4:4">
      <c r="D4471" s="16"/>
    </row>
    <row r="4472" spans="4:4">
      <c r="D4472" s="16"/>
    </row>
    <row r="4473" spans="4:4">
      <c r="D4473" s="16"/>
    </row>
    <row r="4474" spans="4:4">
      <c r="D4474" s="16"/>
    </row>
    <row r="4475" spans="4:4">
      <c r="D4475" s="16"/>
    </row>
    <row r="4476" spans="4:4">
      <c r="D4476" s="16"/>
    </row>
    <row r="4477" spans="4:4">
      <c r="D4477" s="16"/>
    </row>
    <row r="4478" spans="4:4">
      <c r="D4478" s="16"/>
    </row>
    <row r="4479" spans="4:4">
      <c r="D4479" s="16"/>
    </row>
    <row r="4480" spans="4:4">
      <c r="D4480" s="16"/>
    </row>
    <row r="4481" spans="4:4">
      <c r="D4481" s="16"/>
    </row>
    <row r="4482" spans="4:4">
      <c r="D4482" s="16"/>
    </row>
    <row r="4483" spans="4:4">
      <c r="D4483" s="16"/>
    </row>
    <row r="4484" spans="4:4">
      <c r="D4484" s="16"/>
    </row>
    <row r="4485" spans="4:4">
      <c r="D4485" s="16"/>
    </row>
    <row r="4486" spans="4:4">
      <c r="D4486" s="16"/>
    </row>
    <row r="4487" spans="4:4">
      <c r="D4487" s="16"/>
    </row>
    <row r="4488" spans="4:4">
      <c r="D4488" s="16"/>
    </row>
    <row r="4489" spans="4:4">
      <c r="D4489" s="16"/>
    </row>
    <row r="4490" spans="4:4">
      <c r="D4490" s="16"/>
    </row>
    <row r="4491" spans="4:4">
      <c r="D4491" s="16"/>
    </row>
    <row r="4492" spans="4:4">
      <c r="D4492" s="16"/>
    </row>
    <row r="4493" spans="4:4">
      <c r="D4493" s="16"/>
    </row>
    <row r="4494" spans="4:4">
      <c r="D4494" s="16"/>
    </row>
    <row r="4495" spans="4:4">
      <c r="D4495" s="16"/>
    </row>
    <row r="4496" spans="4:4">
      <c r="D4496" s="16"/>
    </row>
    <row r="4497" spans="4:4">
      <c r="D4497" s="16"/>
    </row>
    <row r="4498" spans="4:4">
      <c r="D4498" s="16"/>
    </row>
    <row r="4499" spans="4:4">
      <c r="D4499" s="16"/>
    </row>
    <row r="4500" spans="4:4">
      <c r="D4500" s="16"/>
    </row>
    <row r="4501" spans="4:4">
      <c r="D4501" s="16"/>
    </row>
    <row r="4502" spans="4:4">
      <c r="D4502" s="16"/>
    </row>
    <row r="4503" spans="4:4">
      <c r="D4503" s="16"/>
    </row>
    <row r="4504" spans="4:4">
      <c r="D4504" s="16"/>
    </row>
    <row r="4505" spans="4:4">
      <c r="D4505" s="16"/>
    </row>
    <row r="4506" spans="4:4">
      <c r="D4506" s="16"/>
    </row>
    <row r="4507" spans="4:4">
      <c r="D4507" s="16"/>
    </row>
    <row r="4508" spans="4:4">
      <c r="D4508" s="16"/>
    </row>
    <row r="4509" spans="4:4">
      <c r="D4509" s="16"/>
    </row>
    <row r="4510" spans="4:4">
      <c r="D4510" s="16"/>
    </row>
    <row r="4511" spans="4:4">
      <c r="D4511" s="16"/>
    </row>
    <row r="4512" spans="4:4">
      <c r="D4512" s="16"/>
    </row>
    <row r="4513" spans="4:4">
      <c r="D4513" s="16"/>
    </row>
    <row r="4514" spans="4:4">
      <c r="D4514" s="16"/>
    </row>
    <row r="4515" spans="4:4">
      <c r="D4515" s="16"/>
    </row>
    <row r="4516" spans="4:4">
      <c r="D4516" s="16"/>
    </row>
    <row r="4517" spans="4:4">
      <c r="D4517" s="16"/>
    </row>
    <row r="4518" spans="4:4">
      <c r="D4518" s="16"/>
    </row>
    <row r="4519" spans="4:4">
      <c r="D4519" s="16"/>
    </row>
    <row r="4520" spans="4:4">
      <c r="D4520" s="16"/>
    </row>
    <row r="4521" spans="4:4">
      <c r="D4521" s="16"/>
    </row>
    <row r="4522" spans="4:4">
      <c r="D4522" s="16"/>
    </row>
    <row r="4523" spans="4:4">
      <c r="D4523" s="16"/>
    </row>
    <row r="4524" spans="4:4">
      <c r="D4524" s="16"/>
    </row>
    <row r="4525" spans="4:4">
      <c r="D4525" s="16"/>
    </row>
    <row r="4526" spans="4:4">
      <c r="D4526" s="16"/>
    </row>
    <row r="4527" spans="4:4">
      <c r="D4527" s="16"/>
    </row>
    <row r="4528" spans="4:4">
      <c r="D4528" s="16"/>
    </row>
    <row r="4529" spans="4:4">
      <c r="D4529" s="16"/>
    </row>
    <row r="4530" spans="4:4">
      <c r="D4530" s="16"/>
    </row>
    <row r="4531" spans="4:4">
      <c r="D4531" s="16"/>
    </row>
    <row r="4532" spans="4:4">
      <c r="D4532" s="16"/>
    </row>
    <row r="4533" spans="4:4">
      <c r="D4533" s="16"/>
    </row>
    <row r="4534" spans="4:4">
      <c r="D4534" s="16"/>
    </row>
    <row r="4535" spans="4:4">
      <c r="D4535" s="16"/>
    </row>
    <row r="4536" spans="4:4">
      <c r="D4536" s="16"/>
    </row>
    <row r="4537" spans="4:4">
      <c r="D4537" s="16"/>
    </row>
    <row r="4538" spans="4:4">
      <c r="D4538" s="16"/>
    </row>
    <row r="4539" spans="4:4">
      <c r="D4539" s="16"/>
    </row>
    <row r="4540" spans="4:4">
      <c r="D4540" s="16"/>
    </row>
    <row r="4541" spans="4:4">
      <c r="D4541" s="16"/>
    </row>
    <row r="4542" spans="4:4">
      <c r="D4542" s="16"/>
    </row>
    <row r="4543" spans="4:4">
      <c r="D4543" s="16"/>
    </row>
    <row r="4544" spans="4:4">
      <c r="D4544" s="16"/>
    </row>
    <row r="4545" spans="4:4">
      <c r="D4545" s="16"/>
    </row>
    <row r="4546" spans="4:4">
      <c r="D4546" s="16"/>
    </row>
    <row r="4547" spans="4:4">
      <c r="D4547" s="16"/>
    </row>
    <row r="4548" spans="4:4">
      <c r="D4548" s="16"/>
    </row>
    <row r="4549" spans="4:4">
      <c r="D4549" s="16"/>
    </row>
    <row r="4550" spans="4:4">
      <c r="D4550" s="16"/>
    </row>
    <row r="4551" spans="4:4">
      <c r="D4551" s="16"/>
    </row>
    <row r="4552" spans="4:4">
      <c r="D4552" s="16"/>
    </row>
    <row r="4553" spans="4:4">
      <c r="D4553" s="16"/>
    </row>
    <row r="4554" spans="4:4">
      <c r="D4554" s="16"/>
    </row>
    <row r="4555" spans="4:4">
      <c r="D4555" s="16"/>
    </row>
    <row r="4556" spans="4:4">
      <c r="D4556" s="16"/>
    </row>
    <row r="4557" spans="4:4">
      <c r="D4557" s="16"/>
    </row>
    <row r="4558" spans="4:4">
      <c r="D4558" s="16"/>
    </row>
    <row r="4559" spans="4:4">
      <c r="D4559" s="16"/>
    </row>
    <row r="4560" spans="4:4">
      <c r="D4560" s="16"/>
    </row>
    <row r="4561" spans="4:4">
      <c r="D4561" s="16"/>
    </row>
    <row r="4562" spans="4:4">
      <c r="D4562" s="16"/>
    </row>
    <row r="4563" spans="4:4">
      <c r="D4563" s="16"/>
    </row>
    <row r="4564" spans="4:4">
      <c r="D4564" s="16"/>
    </row>
    <row r="4565" spans="4:4">
      <c r="D4565" s="16"/>
    </row>
    <row r="4566" spans="4:4">
      <c r="D4566" s="16"/>
    </row>
    <row r="4567" spans="4:4">
      <c r="D4567" s="16"/>
    </row>
    <row r="4568" spans="4:4">
      <c r="D4568" s="16"/>
    </row>
    <row r="4569" spans="4:4">
      <c r="D4569" s="16"/>
    </row>
    <row r="4570" spans="4:4">
      <c r="D4570" s="16"/>
    </row>
    <row r="4571" spans="4:4">
      <c r="D4571" s="16"/>
    </row>
    <row r="4572" spans="4:4">
      <c r="D4572" s="16"/>
    </row>
    <row r="4573" spans="4:4">
      <c r="D4573" s="16"/>
    </row>
    <row r="4574" spans="4:4">
      <c r="D4574" s="16"/>
    </row>
    <row r="4575" spans="4:4">
      <c r="D4575" s="16"/>
    </row>
    <row r="4576" spans="4:4">
      <c r="D4576" s="16"/>
    </row>
    <row r="4577" spans="4:4">
      <c r="D4577" s="16"/>
    </row>
    <row r="4578" spans="4:4">
      <c r="D4578" s="16"/>
    </row>
    <row r="4579" spans="4:4">
      <c r="D4579" s="16"/>
    </row>
    <row r="4580" spans="4:4">
      <c r="D4580" s="16"/>
    </row>
    <row r="4581" spans="4:4">
      <c r="D4581" s="16"/>
    </row>
    <row r="4582" spans="4:4">
      <c r="D4582" s="16"/>
    </row>
    <row r="4583" spans="4:4">
      <c r="D4583" s="16"/>
    </row>
    <row r="4584" spans="4:4">
      <c r="D4584" s="16"/>
    </row>
    <row r="4585" spans="4:4">
      <c r="D4585" s="16"/>
    </row>
    <row r="4586" spans="4:4">
      <c r="D4586" s="16"/>
    </row>
    <row r="4587" spans="4:4">
      <c r="D4587" s="16"/>
    </row>
    <row r="4588" spans="4:4">
      <c r="D4588" s="16"/>
    </row>
    <row r="4589" spans="4:4">
      <c r="D4589" s="16"/>
    </row>
    <row r="4590" spans="4:4">
      <c r="D4590" s="16"/>
    </row>
    <row r="4591" spans="4:4">
      <c r="D4591" s="16"/>
    </row>
    <row r="4592" spans="4:4">
      <c r="D4592" s="16"/>
    </row>
    <row r="4593" spans="4:4">
      <c r="D4593" s="16"/>
    </row>
    <row r="4594" spans="4:4">
      <c r="D4594" s="16"/>
    </row>
    <row r="4595" spans="4:4">
      <c r="D4595" s="16"/>
    </row>
    <row r="4596" spans="4:4">
      <c r="D4596" s="16"/>
    </row>
    <row r="4597" spans="4:4">
      <c r="D4597" s="16"/>
    </row>
    <row r="4598" spans="4:4">
      <c r="D4598" s="16"/>
    </row>
    <row r="4599" spans="4:4">
      <c r="D4599" s="16"/>
    </row>
    <row r="4600" spans="4:4">
      <c r="D4600" s="16"/>
    </row>
    <row r="4601" spans="4:4">
      <c r="D4601" s="16"/>
    </row>
    <row r="4602" spans="4:4">
      <c r="D4602" s="16"/>
    </row>
    <row r="4603" spans="4:4">
      <c r="D4603" s="16"/>
    </row>
    <row r="4604" spans="4:4">
      <c r="D4604" s="16"/>
    </row>
    <row r="4605" spans="4:4">
      <c r="D4605" s="16"/>
    </row>
    <row r="4606" spans="4:4">
      <c r="D4606" s="16"/>
    </row>
    <row r="4607" spans="4:4">
      <c r="D4607" s="16"/>
    </row>
    <row r="4608" spans="4:4">
      <c r="D4608" s="16"/>
    </row>
    <row r="4609" spans="4:4">
      <c r="D4609" s="16"/>
    </row>
    <row r="4610" spans="4:4">
      <c r="D4610" s="16"/>
    </row>
    <row r="4611" spans="4:4">
      <c r="D4611" s="16"/>
    </row>
    <row r="4612" spans="4:4">
      <c r="D4612" s="16"/>
    </row>
    <row r="4613" spans="4:4">
      <c r="D4613" s="16"/>
    </row>
    <row r="4614" spans="4:4">
      <c r="D4614" s="16"/>
    </row>
    <row r="4615" spans="4:4">
      <c r="D4615" s="16"/>
    </row>
    <row r="4616" spans="4:4">
      <c r="D4616" s="16"/>
    </row>
    <row r="4617" spans="4:4">
      <c r="D4617" s="16"/>
    </row>
    <row r="4618" spans="4:4">
      <c r="D4618" s="16"/>
    </row>
    <row r="4619" spans="4:4">
      <c r="D4619" s="16"/>
    </row>
    <row r="4620" spans="4:4">
      <c r="D4620" s="16"/>
    </row>
    <row r="4621" spans="4:4">
      <c r="D4621" s="16"/>
    </row>
    <row r="4622" spans="4:4">
      <c r="D4622" s="16"/>
    </row>
    <row r="4623" spans="4:4">
      <c r="D4623" s="16"/>
    </row>
    <row r="4624" spans="4:4">
      <c r="D4624" s="16"/>
    </row>
    <row r="4625" spans="4:4">
      <c r="D4625" s="16"/>
    </row>
    <row r="4626" spans="4:4">
      <c r="D4626" s="16"/>
    </row>
    <row r="4627" spans="4:4">
      <c r="D4627" s="16"/>
    </row>
    <row r="4628" spans="4:4">
      <c r="D4628" s="16"/>
    </row>
    <row r="4629" spans="4:4">
      <c r="D4629" s="16"/>
    </row>
    <row r="4630" spans="4:4">
      <c r="D4630" s="16"/>
    </row>
    <row r="4631" spans="4:4">
      <c r="D4631" s="16"/>
    </row>
    <row r="4632" spans="4:4">
      <c r="D4632" s="16"/>
    </row>
    <row r="4633" spans="4:4">
      <c r="D4633" s="16"/>
    </row>
    <row r="4634" spans="4:4">
      <c r="D4634" s="16"/>
    </row>
    <row r="4635" spans="4:4">
      <c r="D4635" s="16"/>
    </row>
    <row r="4636" spans="4:4">
      <c r="D4636" s="16"/>
    </row>
    <row r="4637" spans="4:4">
      <c r="D4637" s="16"/>
    </row>
    <row r="4638" spans="4:4">
      <c r="D4638" s="16"/>
    </row>
    <row r="4639" spans="4:4">
      <c r="D4639" s="16"/>
    </row>
    <row r="4640" spans="4:4">
      <c r="D4640" s="16"/>
    </row>
    <row r="4641" spans="4:4">
      <c r="D4641" s="16"/>
    </row>
    <row r="4642" spans="4:4">
      <c r="D4642" s="16"/>
    </row>
    <row r="4643" spans="4:4">
      <c r="D4643" s="16"/>
    </row>
    <row r="4644" spans="4:4">
      <c r="D4644" s="16"/>
    </row>
    <row r="4645" spans="4:4">
      <c r="D4645" s="16"/>
    </row>
    <row r="4646" spans="4:4">
      <c r="D4646" s="16"/>
    </row>
    <row r="4647" spans="4:4">
      <c r="D4647" s="16"/>
    </row>
    <row r="4648" spans="4:4">
      <c r="D4648" s="16"/>
    </row>
    <row r="4649" spans="4:4">
      <c r="D4649" s="16"/>
    </row>
    <row r="4650" spans="4:4">
      <c r="D4650" s="16"/>
    </row>
    <row r="4651" spans="4:4">
      <c r="D4651" s="16"/>
    </row>
    <row r="4652" spans="4:4">
      <c r="D4652" s="16"/>
    </row>
    <row r="4653" spans="4:4">
      <c r="D4653" s="16"/>
    </row>
    <row r="4654" spans="4:4">
      <c r="D4654" s="16"/>
    </row>
    <row r="4655" spans="4:4">
      <c r="D4655" s="16"/>
    </row>
    <row r="4656" spans="4:4">
      <c r="D4656" s="16"/>
    </row>
    <row r="4657" spans="4:4">
      <c r="D4657" s="16"/>
    </row>
    <row r="4658" spans="4:4">
      <c r="D4658" s="16"/>
    </row>
    <row r="4659" spans="4:4">
      <c r="D4659" s="16"/>
    </row>
    <row r="4660" spans="4:4">
      <c r="D4660" s="16"/>
    </row>
    <row r="4661" spans="4:4">
      <c r="D4661" s="16"/>
    </row>
    <row r="4662" spans="4:4">
      <c r="D4662" s="16"/>
    </row>
    <row r="4663" spans="4:4">
      <c r="D4663" s="16"/>
    </row>
    <row r="4664" spans="4:4">
      <c r="D4664" s="16"/>
    </row>
    <row r="4665" spans="4:4">
      <c r="D4665" s="16"/>
    </row>
    <row r="4666" spans="4:4">
      <c r="D4666" s="16"/>
    </row>
    <row r="4667" spans="4:4">
      <c r="D4667" s="16"/>
    </row>
    <row r="4668" spans="4:4">
      <c r="D4668" s="16"/>
    </row>
    <row r="4669" spans="4:4">
      <c r="D4669" s="16"/>
    </row>
    <row r="4670" spans="4:4">
      <c r="D4670" s="16"/>
    </row>
    <row r="4671" spans="4:4">
      <c r="D4671" s="16"/>
    </row>
    <row r="4672" spans="4:4">
      <c r="D4672" s="16"/>
    </row>
    <row r="4673" spans="4:4">
      <c r="D4673" s="16"/>
    </row>
    <row r="4674" spans="4:4">
      <c r="D4674" s="16"/>
    </row>
    <row r="4675" spans="4:4">
      <c r="D4675" s="16"/>
    </row>
    <row r="4676" spans="4:4">
      <c r="D4676" s="16"/>
    </row>
    <row r="4677" spans="4:4">
      <c r="D4677" s="16"/>
    </row>
    <row r="4678" spans="4:4">
      <c r="D4678" s="16"/>
    </row>
    <row r="4679" spans="4:4">
      <c r="D4679" s="16"/>
    </row>
    <row r="4680" spans="4:4">
      <c r="D4680" s="16"/>
    </row>
    <row r="4681" spans="4:4">
      <c r="D4681" s="16"/>
    </row>
    <row r="4682" spans="4:4">
      <c r="D4682" s="16"/>
    </row>
    <row r="4683" spans="4:4">
      <c r="D4683" s="16"/>
    </row>
    <row r="4684" spans="4:4">
      <c r="D4684" s="16"/>
    </row>
    <row r="4685" spans="4:4">
      <c r="D4685" s="16"/>
    </row>
    <row r="4686" spans="4:4">
      <c r="D4686" s="16"/>
    </row>
    <row r="4687" spans="4:4">
      <c r="D4687" s="16"/>
    </row>
    <row r="4688" spans="4:4">
      <c r="D4688" s="16"/>
    </row>
    <row r="4689" spans="4:4">
      <c r="D4689" s="16"/>
    </row>
    <row r="4690" spans="4:4">
      <c r="D4690" s="16"/>
    </row>
    <row r="4691" spans="4:4">
      <c r="D4691" s="16"/>
    </row>
    <row r="4692" spans="4:4">
      <c r="D4692" s="16"/>
    </row>
    <row r="4693" spans="4:4">
      <c r="D4693" s="16"/>
    </row>
    <row r="4694" spans="4:4">
      <c r="D4694" s="16"/>
    </row>
    <row r="4695" spans="4:4">
      <c r="D4695" s="16"/>
    </row>
    <row r="4696" spans="4:4">
      <c r="D4696" s="16"/>
    </row>
    <row r="4697" spans="4:4">
      <c r="D4697" s="16"/>
    </row>
    <row r="4698" spans="4:4">
      <c r="D4698" s="16"/>
    </row>
    <row r="4699" spans="4:4">
      <c r="D4699" s="16"/>
    </row>
    <row r="4700" spans="4:4">
      <c r="D4700" s="16"/>
    </row>
    <row r="4701" spans="4:4">
      <c r="D4701" s="16"/>
    </row>
    <row r="4702" spans="4:4">
      <c r="D4702" s="16"/>
    </row>
    <row r="4703" spans="4:4">
      <c r="D4703" s="16"/>
    </row>
    <row r="4704" spans="4:4">
      <c r="D4704" s="16"/>
    </row>
    <row r="4705" spans="4:4">
      <c r="D4705" s="16"/>
    </row>
    <row r="4706" spans="4:4">
      <c r="D4706" s="16"/>
    </row>
    <row r="4707" spans="4:4">
      <c r="D4707" s="16"/>
    </row>
    <row r="4708" spans="4:4">
      <c r="D4708" s="16"/>
    </row>
    <row r="4709" spans="4:4">
      <c r="D4709" s="16"/>
    </row>
    <row r="4710" spans="4:4">
      <c r="D4710" s="16"/>
    </row>
    <row r="4711" spans="4:4">
      <c r="D4711" s="16"/>
    </row>
    <row r="4712" spans="4:4">
      <c r="D4712" s="16"/>
    </row>
    <row r="4713" spans="4:4">
      <c r="D4713" s="16"/>
    </row>
    <row r="4714" spans="4:4">
      <c r="D4714" s="16"/>
    </row>
    <row r="4715" spans="4:4">
      <c r="D4715" s="16"/>
    </row>
    <row r="4716" spans="4:4">
      <c r="D4716" s="16"/>
    </row>
    <row r="4717" spans="4:4">
      <c r="D4717" s="16"/>
    </row>
    <row r="4718" spans="4:4">
      <c r="D4718" s="16"/>
    </row>
    <row r="4719" spans="4:4">
      <c r="D4719" s="16"/>
    </row>
    <row r="4720" spans="4:4">
      <c r="D4720" s="16"/>
    </row>
    <row r="4721" spans="4:4">
      <c r="D4721" s="16"/>
    </row>
    <row r="4722" spans="4:4">
      <c r="D4722" s="16"/>
    </row>
    <row r="4723" spans="4:4">
      <c r="D4723" s="16"/>
    </row>
    <row r="4724" spans="4:4">
      <c r="D4724" s="16"/>
    </row>
    <row r="4725" spans="4:4">
      <c r="D4725" s="16"/>
    </row>
    <row r="4726" spans="4:4">
      <c r="D4726" s="16"/>
    </row>
    <row r="4727" spans="4:4">
      <c r="D4727" s="16"/>
    </row>
    <row r="4728" spans="4:4">
      <c r="D4728" s="16"/>
    </row>
    <row r="4729" spans="4:4">
      <c r="D4729" s="16"/>
    </row>
    <row r="4730" spans="4:4">
      <c r="D4730" s="16"/>
    </row>
    <row r="4731" spans="4:4">
      <c r="D4731" s="16"/>
    </row>
    <row r="4732" spans="4:4">
      <c r="D4732" s="16"/>
    </row>
    <row r="4733" spans="4:4">
      <c r="D4733" s="16"/>
    </row>
    <row r="4734" spans="4:4">
      <c r="D4734" s="16"/>
    </row>
    <row r="4735" spans="4:4">
      <c r="D4735" s="16"/>
    </row>
    <row r="4736" spans="4:4">
      <c r="D4736" s="16"/>
    </row>
    <row r="4737" spans="4:4">
      <c r="D4737" s="16"/>
    </row>
    <row r="4738" spans="4:4">
      <c r="D4738" s="16"/>
    </row>
    <row r="4739" spans="4:4">
      <c r="D4739" s="16"/>
    </row>
    <row r="4740" spans="4:4">
      <c r="D4740" s="16"/>
    </row>
    <row r="4741" spans="4:4">
      <c r="D4741" s="16"/>
    </row>
    <row r="4742" spans="4:4">
      <c r="D4742" s="16"/>
    </row>
    <row r="4743" spans="4:4">
      <c r="D4743" s="16"/>
    </row>
    <row r="4744" spans="4:4">
      <c r="D4744" s="16"/>
    </row>
    <row r="4745" spans="4:4">
      <c r="D4745" s="16"/>
    </row>
    <row r="4746" spans="4:4">
      <c r="D4746" s="16"/>
    </row>
    <row r="4747" spans="4:4">
      <c r="D4747" s="16"/>
    </row>
    <row r="4748" spans="4:4">
      <c r="D4748" s="16"/>
    </row>
    <row r="4749" spans="4:4">
      <c r="D4749" s="16"/>
    </row>
    <row r="4750" spans="4:4">
      <c r="D4750" s="16"/>
    </row>
    <row r="4751" spans="4:4">
      <c r="D4751" s="16"/>
    </row>
    <row r="4752" spans="4:4">
      <c r="D4752" s="16"/>
    </row>
    <row r="4753" spans="4:4">
      <c r="D4753" s="16"/>
    </row>
    <row r="4754" spans="4:4">
      <c r="D4754" s="16"/>
    </row>
    <row r="4755" spans="4:4">
      <c r="D4755" s="16"/>
    </row>
    <row r="4756" spans="4:4">
      <c r="D4756" s="16"/>
    </row>
    <row r="4757" spans="4:4">
      <c r="D4757" s="16"/>
    </row>
    <row r="4758" spans="4:4">
      <c r="D4758" s="16"/>
    </row>
    <row r="4759" spans="4:4">
      <c r="D4759" s="16"/>
    </row>
    <row r="4760" spans="4:4">
      <c r="D4760" s="16"/>
    </row>
    <row r="4761" spans="4:4">
      <c r="D4761" s="16"/>
    </row>
    <row r="4762" spans="4:4">
      <c r="D4762" s="16"/>
    </row>
    <row r="4763" spans="4:4">
      <c r="D4763" s="16"/>
    </row>
    <row r="4764" spans="4:4">
      <c r="D4764" s="16"/>
    </row>
    <row r="4765" spans="4:4">
      <c r="D4765" s="16"/>
    </row>
    <row r="4766" spans="4:4">
      <c r="D4766" s="16"/>
    </row>
    <row r="4767" spans="4:4">
      <c r="D4767" s="16"/>
    </row>
    <row r="4768" spans="4:4">
      <c r="D4768" s="16"/>
    </row>
    <row r="4769" spans="4:4">
      <c r="D4769" s="16"/>
    </row>
    <row r="4770" spans="4:4">
      <c r="D4770" s="16"/>
    </row>
    <row r="4771" spans="4:4">
      <c r="D4771" s="16"/>
    </row>
    <row r="4772" spans="4:4">
      <c r="D4772" s="16"/>
    </row>
    <row r="4773" spans="4:4">
      <c r="D4773" s="16"/>
    </row>
    <row r="4774" spans="4:4">
      <c r="D4774" s="16"/>
    </row>
    <row r="4775" spans="4:4">
      <c r="D4775" s="16"/>
    </row>
    <row r="4776" spans="4:4">
      <c r="D4776" s="16"/>
    </row>
    <row r="4777" spans="4:4">
      <c r="D4777" s="16"/>
    </row>
    <row r="4778" spans="4:4">
      <c r="D4778" s="16"/>
    </row>
    <row r="4779" spans="4:4">
      <c r="D4779" s="16"/>
    </row>
    <row r="4780" spans="4:4">
      <c r="D4780" s="16"/>
    </row>
    <row r="4781" spans="4:4">
      <c r="D4781" s="16"/>
    </row>
    <row r="4782" spans="4:4">
      <c r="D4782" s="16"/>
    </row>
    <row r="4783" spans="4:4">
      <c r="D4783" s="16"/>
    </row>
    <row r="4784" spans="4:4">
      <c r="D4784" s="16"/>
    </row>
    <row r="4785" spans="4:4">
      <c r="D4785" s="16"/>
    </row>
    <row r="4786" spans="4:4">
      <c r="D4786" s="16"/>
    </row>
    <row r="4787" spans="4:4">
      <c r="D4787" s="16"/>
    </row>
    <row r="4788" spans="4:4">
      <c r="D4788" s="16"/>
    </row>
    <row r="4789" spans="4:4">
      <c r="D4789" s="16"/>
    </row>
    <row r="4790" spans="4:4">
      <c r="D4790" s="16"/>
    </row>
    <row r="4791" spans="4:4">
      <c r="D4791" s="16"/>
    </row>
    <row r="4792" spans="4:4">
      <c r="D4792" s="16"/>
    </row>
    <row r="4793" spans="4:4">
      <c r="D4793" s="16"/>
    </row>
    <row r="4794" spans="4:4">
      <c r="D4794" s="16"/>
    </row>
    <row r="4795" spans="4:4">
      <c r="D4795" s="16"/>
    </row>
    <row r="4796" spans="4:4">
      <c r="D4796" s="16"/>
    </row>
    <row r="4797" spans="4:4">
      <c r="D4797" s="16"/>
    </row>
    <row r="4798" spans="4:4">
      <c r="D4798" s="16"/>
    </row>
    <row r="4799" spans="4:4">
      <c r="D4799" s="16"/>
    </row>
    <row r="4800" spans="4:4">
      <c r="D4800" s="16"/>
    </row>
    <row r="4801" spans="4:4">
      <c r="D4801" s="16"/>
    </row>
    <row r="4802" spans="4:4">
      <c r="D4802" s="16"/>
    </row>
    <row r="4803" spans="4:4">
      <c r="D4803" s="16"/>
    </row>
    <row r="4804" spans="4:4">
      <c r="D4804" s="16"/>
    </row>
    <row r="4805" spans="4:4">
      <c r="D4805" s="16"/>
    </row>
    <row r="4806" spans="4:4">
      <c r="D4806" s="16"/>
    </row>
    <row r="4807" spans="4:4">
      <c r="D4807" s="16"/>
    </row>
    <row r="4808" spans="4:4">
      <c r="D4808" s="16"/>
    </row>
    <row r="4809" spans="4:4">
      <c r="D4809" s="16"/>
    </row>
    <row r="4810" spans="4:4">
      <c r="D4810" s="16"/>
    </row>
    <row r="4811" spans="4:4">
      <c r="D4811" s="16"/>
    </row>
    <row r="4812" spans="4:4">
      <c r="D4812" s="16"/>
    </row>
    <row r="4813" spans="4:4">
      <c r="D4813" s="16"/>
    </row>
    <row r="4814" spans="4:4">
      <c r="D4814" s="16"/>
    </row>
    <row r="4815" spans="4:4">
      <c r="D4815" s="16"/>
    </row>
    <row r="4816" spans="4:4">
      <c r="D4816" s="16"/>
    </row>
    <row r="4817" spans="4:4">
      <c r="D4817" s="16"/>
    </row>
    <row r="4818" spans="4:4">
      <c r="D4818" s="16"/>
    </row>
    <row r="4819" spans="4:4">
      <c r="D4819" s="16"/>
    </row>
    <row r="4820" spans="4:4">
      <c r="D4820" s="16"/>
    </row>
    <row r="4821" spans="4:4">
      <c r="D4821" s="16"/>
    </row>
    <row r="4822" spans="4:4">
      <c r="D4822" s="16"/>
    </row>
    <row r="4823" spans="4:4">
      <c r="D4823" s="16"/>
    </row>
    <row r="4824" spans="4:4">
      <c r="D4824" s="16"/>
    </row>
    <row r="4825" spans="4:4">
      <c r="D4825" s="16"/>
    </row>
    <row r="4826" spans="4:4">
      <c r="D4826" s="16"/>
    </row>
    <row r="4827" spans="4:4">
      <c r="D4827" s="16"/>
    </row>
    <row r="4828" spans="4:4">
      <c r="D4828" s="16"/>
    </row>
    <row r="4829" spans="4:4">
      <c r="D4829" s="16"/>
    </row>
    <row r="4830" spans="4:4">
      <c r="D4830" s="16"/>
    </row>
    <row r="4831" spans="4:4">
      <c r="D4831" s="16"/>
    </row>
    <row r="4832" spans="4:4">
      <c r="D4832" s="16"/>
    </row>
    <row r="4833" spans="4:4">
      <c r="D4833" s="16"/>
    </row>
    <row r="4834" spans="4:4">
      <c r="D4834" s="16"/>
    </row>
    <row r="4835" spans="4:4">
      <c r="D4835" s="16"/>
    </row>
    <row r="4836" spans="4:4">
      <c r="D4836" s="16"/>
    </row>
    <row r="4837" spans="4:4">
      <c r="D4837" s="16"/>
    </row>
    <row r="4838" spans="4:4">
      <c r="D4838" s="16"/>
    </row>
    <row r="4839" spans="4:4">
      <c r="D4839" s="16"/>
    </row>
    <row r="4840" spans="4:4">
      <c r="D4840" s="16"/>
    </row>
    <row r="4841" spans="4:4">
      <c r="D4841" s="16"/>
    </row>
    <row r="4842" spans="4:4">
      <c r="D4842" s="16"/>
    </row>
    <row r="4843" spans="4:4">
      <c r="D4843" s="16"/>
    </row>
    <row r="4844" spans="4:4">
      <c r="D4844" s="16"/>
    </row>
    <row r="4845" spans="4:4">
      <c r="D4845" s="16"/>
    </row>
    <row r="4846" spans="4:4">
      <c r="D4846" s="16"/>
    </row>
    <row r="4847" spans="4:4">
      <c r="D4847" s="16"/>
    </row>
    <row r="4848" spans="4:4">
      <c r="D4848" s="16"/>
    </row>
    <row r="4849" spans="4:4">
      <c r="D4849" s="16"/>
    </row>
    <row r="4850" spans="4:4">
      <c r="D4850" s="16"/>
    </row>
    <row r="4851" spans="4:4">
      <c r="D4851" s="16"/>
    </row>
    <row r="4852" spans="4:4">
      <c r="D4852" s="16"/>
    </row>
    <row r="4853" spans="4:4">
      <c r="D4853" s="16"/>
    </row>
    <row r="4854" spans="4:4">
      <c r="D4854" s="16"/>
    </row>
    <row r="4855" spans="4:4">
      <c r="D4855" s="16"/>
    </row>
    <row r="4856" spans="4:4">
      <c r="D4856" s="16"/>
    </row>
    <row r="4857" spans="4:4">
      <c r="D4857" s="16"/>
    </row>
    <row r="4858" spans="4:4">
      <c r="D4858" s="16"/>
    </row>
    <row r="4859" spans="4:4">
      <c r="D4859" s="16"/>
    </row>
    <row r="4860" spans="4:4">
      <c r="D4860" s="16"/>
    </row>
    <row r="4861" spans="4:4">
      <c r="D4861" s="16"/>
    </row>
    <row r="4862" spans="4:4">
      <c r="D4862" s="16"/>
    </row>
    <row r="4863" spans="4:4">
      <c r="D4863" s="16"/>
    </row>
    <row r="4864" spans="4:4">
      <c r="D4864" s="16"/>
    </row>
    <row r="4865" spans="4:4">
      <c r="D4865" s="16"/>
    </row>
    <row r="4866" spans="4:4">
      <c r="D4866" s="16"/>
    </row>
    <row r="4867" spans="4:4">
      <c r="D4867" s="16"/>
    </row>
    <row r="4868" spans="4:4">
      <c r="D4868" s="16"/>
    </row>
    <row r="4869" spans="4:4">
      <c r="D4869" s="16"/>
    </row>
    <row r="4870" spans="4:4">
      <c r="D4870" s="16"/>
    </row>
    <row r="4871" spans="4:4">
      <c r="D4871" s="16"/>
    </row>
    <row r="4872" spans="4:4">
      <c r="D4872" s="16"/>
    </row>
    <row r="4873" spans="4:4">
      <c r="D4873" s="16"/>
    </row>
    <row r="4874" spans="4:4">
      <c r="D4874" s="16"/>
    </row>
    <row r="4875" spans="4:4">
      <c r="D4875" s="16"/>
    </row>
    <row r="4876" spans="4:4">
      <c r="D4876" s="16"/>
    </row>
    <row r="4877" spans="4:4">
      <c r="D4877" s="16"/>
    </row>
    <row r="4878" spans="4:4">
      <c r="D4878" s="16"/>
    </row>
    <row r="4879" spans="4:4">
      <c r="D4879" s="16"/>
    </row>
    <row r="4880" spans="4:4">
      <c r="D4880" s="16"/>
    </row>
    <row r="4881" spans="4:4">
      <c r="D4881" s="16"/>
    </row>
    <row r="4882" spans="4:4">
      <c r="D4882" s="16"/>
    </row>
    <row r="4883" spans="4:4">
      <c r="D4883" s="16"/>
    </row>
    <row r="4884" spans="4:4">
      <c r="D4884" s="16"/>
    </row>
    <row r="4885" spans="4:4">
      <c r="D4885" s="16"/>
    </row>
    <row r="4886" spans="4:4">
      <c r="D4886" s="16"/>
    </row>
    <row r="4887" spans="4:4">
      <c r="D4887" s="16"/>
    </row>
    <row r="4888" spans="4:4">
      <c r="D4888" s="16"/>
    </row>
    <row r="4889" spans="4:4">
      <c r="D4889" s="16"/>
    </row>
    <row r="4890" spans="4:4">
      <c r="D4890" s="16"/>
    </row>
    <row r="4891" spans="4:4">
      <c r="D4891" s="16"/>
    </row>
    <row r="4892" spans="4:4">
      <c r="D4892" s="16"/>
    </row>
    <row r="4893" spans="4:4">
      <c r="D4893" s="16"/>
    </row>
    <row r="4894" spans="4:4">
      <c r="D4894" s="16"/>
    </row>
    <row r="4895" spans="4:4">
      <c r="D4895" s="16"/>
    </row>
    <row r="4896" spans="4:4">
      <c r="D4896" s="16"/>
    </row>
    <row r="4897" spans="4:4">
      <c r="D4897" s="16"/>
    </row>
    <row r="4898" spans="4:4">
      <c r="D4898" s="16"/>
    </row>
    <row r="4899" spans="4:4">
      <c r="D4899" s="16"/>
    </row>
    <row r="4900" spans="4:4">
      <c r="D4900" s="16"/>
    </row>
    <row r="4901" spans="4:4">
      <c r="D4901" s="16"/>
    </row>
    <row r="4902" spans="4:4">
      <c r="D4902" s="16"/>
    </row>
    <row r="4903" spans="4:4">
      <c r="D4903" s="16"/>
    </row>
    <row r="4904" spans="4:4">
      <c r="D4904" s="16"/>
    </row>
    <row r="4905" spans="4:4">
      <c r="D4905" s="16"/>
    </row>
    <row r="4906" spans="4:4">
      <c r="D4906" s="16"/>
    </row>
    <row r="4907" spans="4:4">
      <c r="D4907" s="16"/>
    </row>
    <row r="4908" spans="4:4">
      <c r="D4908" s="16"/>
    </row>
    <row r="4909" spans="4:4">
      <c r="D4909" s="16"/>
    </row>
    <row r="4910" spans="4:4">
      <c r="D4910" s="16"/>
    </row>
    <row r="4911" spans="4:4">
      <c r="D4911" s="16"/>
    </row>
    <row r="4912" spans="4:4">
      <c r="D4912" s="16"/>
    </row>
    <row r="4913" spans="4:4">
      <c r="D4913" s="16"/>
    </row>
    <row r="4914" spans="4:4">
      <c r="D4914" s="16"/>
    </row>
    <row r="4915" spans="4:4">
      <c r="D4915" s="16"/>
    </row>
    <row r="4916" spans="4:4">
      <c r="D4916" s="16"/>
    </row>
    <row r="4917" spans="4:4">
      <c r="D4917" s="16"/>
    </row>
    <row r="4918" spans="4:4">
      <c r="D4918" s="16"/>
    </row>
    <row r="4919" spans="4:4">
      <c r="D4919" s="16"/>
    </row>
    <row r="4920" spans="4:4">
      <c r="D4920" s="16"/>
    </row>
    <row r="4921" spans="4:4">
      <c r="D4921" s="16"/>
    </row>
    <row r="4922" spans="4:4">
      <c r="D4922" s="16"/>
    </row>
    <row r="4923" spans="4:4">
      <c r="D4923" s="16"/>
    </row>
    <row r="4924" spans="4:4">
      <c r="D4924" s="16"/>
    </row>
    <row r="4925" spans="4:4">
      <c r="D4925" s="16"/>
    </row>
    <row r="4926" spans="4:4">
      <c r="D4926" s="16"/>
    </row>
    <row r="4927" spans="4:4">
      <c r="D4927" s="16"/>
    </row>
    <row r="4928" spans="4:4">
      <c r="D4928" s="16"/>
    </row>
    <row r="4929" spans="4:4">
      <c r="D4929" s="16"/>
    </row>
    <row r="4930" spans="4:4">
      <c r="D4930" s="16"/>
    </row>
    <row r="4931" spans="4:4">
      <c r="D4931" s="16"/>
    </row>
    <row r="4932" spans="4:4">
      <c r="D4932" s="16"/>
    </row>
    <row r="4933" spans="4:4">
      <c r="D4933" s="16"/>
    </row>
    <row r="4934" spans="4:4">
      <c r="D4934" s="16"/>
    </row>
    <row r="4935" spans="4:4">
      <c r="D4935" s="16"/>
    </row>
    <row r="4936" spans="4:4">
      <c r="D4936" s="16"/>
    </row>
    <row r="4937" spans="4:4">
      <c r="D4937" s="16"/>
    </row>
    <row r="4938" spans="4:4">
      <c r="D4938" s="16"/>
    </row>
    <row r="4939" spans="4:4">
      <c r="D4939" s="16"/>
    </row>
    <row r="4940" spans="4:4">
      <c r="D4940" s="16"/>
    </row>
    <row r="4941" spans="4:4">
      <c r="D4941" s="16"/>
    </row>
    <row r="4942" spans="4:4">
      <c r="D4942" s="16"/>
    </row>
    <row r="4943" spans="4:4">
      <c r="D4943" s="16"/>
    </row>
    <row r="4944" spans="4:4">
      <c r="D4944" s="16"/>
    </row>
    <row r="4945" spans="4:4">
      <c r="D4945" s="16"/>
    </row>
    <row r="4946" spans="4:4">
      <c r="D4946" s="16"/>
    </row>
    <row r="4947" spans="4:4">
      <c r="D4947" s="16"/>
    </row>
    <row r="4948" spans="4:4">
      <c r="D4948" s="16"/>
    </row>
    <row r="4949" spans="4:4">
      <c r="D4949" s="16"/>
    </row>
    <row r="4950" spans="4:4">
      <c r="D4950" s="16"/>
    </row>
    <row r="4951" spans="4:4">
      <c r="D4951" s="16"/>
    </row>
    <row r="4952" spans="4:4">
      <c r="D4952" s="16"/>
    </row>
    <row r="4953" spans="4:4">
      <c r="D4953" s="16"/>
    </row>
    <row r="4954" spans="4:4">
      <c r="D4954" s="16"/>
    </row>
    <row r="4955" spans="4:4">
      <c r="D4955" s="16"/>
    </row>
    <row r="4956" spans="4:4">
      <c r="D4956" s="16"/>
    </row>
    <row r="4957" spans="4:4">
      <c r="D4957" s="16"/>
    </row>
    <row r="4958" spans="4:4">
      <c r="D4958" s="16"/>
    </row>
    <row r="4959" spans="4:4">
      <c r="D4959" s="16"/>
    </row>
    <row r="4960" spans="4:4">
      <c r="D4960" s="16"/>
    </row>
    <row r="4961" spans="4:4">
      <c r="D4961" s="16"/>
    </row>
    <row r="4962" spans="4:4">
      <c r="D4962" s="16"/>
    </row>
    <row r="4963" spans="4:4">
      <c r="D4963" s="16"/>
    </row>
    <row r="4964" spans="4:4">
      <c r="D4964" s="16"/>
    </row>
    <row r="4965" spans="4:4">
      <c r="D4965" s="16"/>
    </row>
    <row r="4966" spans="4:4">
      <c r="D4966" s="16"/>
    </row>
    <row r="4967" spans="4:4">
      <c r="D4967" s="16"/>
    </row>
    <row r="4968" spans="4:4">
      <c r="D4968" s="16"/>
    </row>
    <row r="4969" spans="4:4">
      <c r="D4969" s="16"/>
    </row>
    <row r="4970" spans="4:4">
      <c r="D4970" s="16"/>
    </row>
    <row r="4971" spans="4:4">
      <c r="D4971" s="16"/>
    </row>
    <row r="4972" spans="4:4">
      <c r="D4972" s="16"/>
    </row>
    <row r="4973" spans="4:4">
      <c r="D4973" s="16"/>
    </row>
    <row r="4974" spans="4:4">
      <c r="D4974" s="16"/>
    </row>
    <row r="4975" spans="4:4">
      <c r="D4975" s="16"/>
    </row>
    <row r="4976" spans="4:4">
      <c r="D4976" s="16"/>
    </row>
    <row r="4977" spans="4:4">
      <c r="D4977" s="16"/>
    </row>
    <row r="4978" spans="4:4">
      <c r="D4978" s="16"/>
    </row>
    <row r="4979" spans="4:4">
      <c r="D4979" s="16"/>
    </row>
    <row r="4980" spans="4:4">
      <c r="D4980" s="16"/>
    </row>
    <row r="4981" spans="4:4">
      <c r="D4981" s="16"/>
    </row>
    <row r="4982" spans="4:4">
      <c r="D4982" s="16"/>
    </row>
    <row r="4983" spans="4:4">
      <c r="D4983" s="16"/>
    </row>
    <row r="4984" spans="4:4">
      <c r="D4984" s="16"/>
    </row>
    <row r="4985" spans="4:4">
      <c r="D4985" s="16"/>
    </row>
    <row r="4986" spans="4:4">
      <c r="D4986" s="16"/>
    </row>
    <row r="4987" spans="4:4">
      <c r="D4987" s="16"/>
    </row>
    <row r="4988" spans="4:4">
      <c r="D4988" s="16"/>
    </row>
    <row r="4989" spans="4:4">
      <c r="D4989" s="16"/>
    </row>
    <row r="4990" spans="4:4">
      <c r="D4990" s="16"/>
    </row>
    <row r="4991" spans="4:4">
      <c r="D4991" s="16"/>
    </row>
    <row r="4992" spans="4:4">
      <c r="D4992" s="16"/>
    </row>
    <row r="4993" spans="4:4">
      <c r="D4993" s="16"/>
    </row>
    <row r="4994" spans="4:4">
      <c r="D4994" s="16"/>
    </row>
    <row r="4995" spans="4:4">
      <c r="D4995" s="16"/>
    </row>
    <row r="4996" spans="4:4">
      <c r="D4996" s="16"/>
    </row>
    <row r="4997" spans="4:4">
      <c r="D4997" s="16"/>
    </row>
    <row r="4998" spans="4:4">
      <c r="D4998" s="16"/>
    </row>
    <row r="4999" spans="4:4">
      <c r="D4999" s="16"/>
    </row>
    <row r="5000" spans="4:4">
      <c r="D5000" s="16"/>
    </row>
    <row r="5001" spans="4:4">
      <c r="D5001" s="16"/>
    </row>
    <row r="5002" spans="4:4">
      <c r="D5002" s="16"/>
    </row>
    <row r="5003" spans="4:4">
      <c r="D5003" s="16"/>
    </row>
    <row r="5004" spans="4:4">
      <c r="D5004" s="16"/>
    </row>
    <row r="5005" spans="4:4">
      <c r="D5005" s="16"/>
    </row>
    <row r="5006" spans="4:4">
      <c r="D5006" s="16"/>
    </row>
    <row r="5007" spans="4:4">
      <c r="D5007" s="16"/>
    </row>
    <row r="5008" spans="4:4">
      <c r="D5008" s="16"/>
    </row>
    <row r="5009" spans="4:4">
      <c r="D5009" s="16"/>
    </row>
    <row r="5010" spans="4:4">
      <c r="D5010" s="16"/>
    </row>
    <row r="5011" spans="4:4">
      <c r="D5011" s="16"/>
    </row>
    <row r="5012" spans="4:4">
      <c r="D5012" s="16"/>
    </row>
    <row r="5013" spans="4:4">
      <c r="D5013" s="16"/>
    </row>
    <row r="5014" spans="4:4">
      <c r="D5014" s="16"/>
    </row>
    <row r="5015" spans="4:4">
      <c r="D5015" s="16"/>
    </row>
    <row r="5016" spans="4:4">
      <c r="D5016" s="16"/>
    </row>
    <row r="5017" spans="4:4">
      <c r="D5017" s="16"/>
    </row>
    <row r="5018" spans="4:4">
      <c r="D5018" s="16"/>
    </row>
    <row r="5019" spans="4:4">
      <c r="D5019" s="16"/>
    </row>
    <row r="5020" spans="4:4">
      <c r="D5020" s="16"/>
    </row>
    <row r="5021" spans="4:4">
      <c r="D5021" s="16"/>
    </row>
    <row r="5022" spans="4:4">
      <c r="D5022" s="16"/>
    </row>
    <row r="5023" spans="4:4">
      <c r="D5023" s="16"/>
    </row>
    <row r="5024" spans="4:4">
      <c r="D5024" s="16"/>
    </row>
    <row r="5025" spans="4:4">
      <c r="D5025" s="16"/>
    </row>
    <row r="5026" spans="4:4">
      <c r="D5026" s="16"/>
    </row>
    <row r="5027" spans="4:4">
      <c r="D5027" s="16"/>
    </row>
    <row r="5028" spans="4:4">
      <c r="D5028" s="16"/>
    </row>
    <row r="5029" spans="4:4">
      <c r="D5029" s="16"/>
    </row>
    <row r="5030" spans="4:4">
      <c r="D5030" s="16"/>
    </row>
    <row r="5031" spans="4:4">
      <c r="D5031" s="16"/>
    </row>
    <row r="5032" spans="4:4">
      <c r="D5032" s="16"/>
    </row>
    <row r="5033" spans="4:4">
      <c r="D5033" s="16"/>
    </row>
    <row r="5034" spans="4:4">
      <c r="D5034" s="16"/>
    </row>
    <row r="5035" spans="4:4">
      <c r="D5035" s="16"/>
    </row>
    <row r="5036" spans="4:4">
      <c r="D5036" s="16"/>
    </row>
    <row r="5037" spans="4:4">
      <c r="D5037" s="16"/>
    </row>
    <row r="5038" spans="4:4">
      <c r="D5038" s="16"/>
    </row>
    <row r="5039" spans="4:4">
      <c r="D5039" s="16"/>
    </row>
    <row r="5040" spans="4:4">
      <c r="D5040" s="16"/>
    </row>
    <row r="5041" spans="4:4">
      <c r="D5041" s="16"/>
    </row>
    <row r="5042" spans="4:4">
      <c r="D5042" s="16"/>
    </row>
    <row r="5043" spans="4:4">
      <c r="D5043" s="16"/>
    </row>
    <row r="5044" spans="4:4">
      <c r="D5044" s="16"/>
    </row>
    <row r="5045" spans="4:4">
      <c r="D5045" s="16"/>
    </row>
    <row r="5046" spans="4:4">
      <c r="D5046" s="16"/>
    </row>
    <row r="5047" spans="4:4">
      <c r="D5047" s="16"/>
    </row>
    <row r="5048" spans="4:4">
      <c r="D5048" s="16"/>
    </row>
    <row r="5049" spans="4:4">
      <c r="D5049" s="16"/>
    </row>
    <row r="5050" spans="4:4">
      <c r="D5050" s="16"/>
    </row>
    <row r="5051" spans="4:4">
      <c r="D5051" s="16"/>
    </row>
    <row r="5052" spans="4:4">
      <c r="D5052" s="16"/>
    </row>
    <row r="5053" spans="4:4">
      <c r="D5053" s="16"/>
    </row>
    <row r="5054" spans="4:4">
      <c r="D5054" s="16"/>
    </row>
    <row r="5055" spans="4:4">
      <c r="D5055" s="16"/>
    </row>
    <row r="5056" spans="4:4">
      <c r="D5056" s="16"/>
    </row>
    <row r="5057" spans="4:4">
      <c r="D5057" s="16"/>
    </row>
    <row r="5058" spans="4:4">
      <c r="D5058" s="16"/>
    </row>
    <row r="5059" spans="4:4">
      <c r="D5059" s="16"/>
    </row>
    <row r="5060" spans="4:4">
      <c r="D5060" s="16"/>
    </row>
    <row r="5061" spans="4:4">
      <c r="D5061" s="16"/>
    </row>
    <row r="5062" spans="4:4">
      <c r="D5062" s="16"/>
    </row>
    <row r="5063" spans="4:4">
      <c r="D5063" s="16"/>
    </row>
    <row r="5064" spans="4:4">
      <c r="D5064" s="16"/>
    </row>
    <row r="5065" spans="4:4">
      <c r="D5065" s="16"/>
    </row>
    <row r="5066" spans="4:4">
      <c r="D5066" s="16"/>
    </row>
    <row r="5067" spans="4:4">
      <c r="D5067" s="16"/>
    </row>
    <row r="5068" spans="4:4">
      <c r="D5068" s="16"/>
    </row>
    <row r="5069" spans="4:4">
      <c r="D5069" s="16"/>
    </row>
    <row r="5070" spans="4:4">
      <c r="D5070" s="16"/>
    </row>
    <row r="5071" spans="4:4">
      <c r="D5071" s="16"/>
    </row>
    <row r="5072" spans="4:4">
      <c r="D5072" s="16"/>
    </row>
    <row r="5073" spans="4:4">
      <c r="D5073" s="16"/>
    </row>
    <row r="5074" spans="4:4">
      <c r="D5074" s="16"/>
    </row>
    <row r="5075" spans="4:4">
      <c r="D5075" s="16"/>
    </row>
    <row r="5076" spans="4:4">
      <c r="D5076" s="16"/>
    </row>
    <row r="5077" spans="4:4">
      <c r="D5077" s="16"/>
    </row>
    <row r="5078" spans="4:4">
      <c r="D5078" s="16"/>
    </row>
    <row r="5079" spans="4:4">
      <c r="D5079" s="16"/>
    </row>
    <row r="5080" spans="4:4">
      <c r="D5080" s="16"/>
    </row>
    <row r="5081" spans="4:4">
      <c r="D5081" s="16"/>
    </row>
    <row r="5082" spans="4:4">
      <c r="D5082" s="16"/>
    </row>
    <row r="5083" spans="4:4">
      <c r="D5083" s="16"/>
    </row>
    <row r="5084" spans="4:4">
      <c r="D5084" s="16"/>
    </row>
    <row r="5085" spans="4:4">
      <c r="D5085" s="16"/>
    </row>
    <row r="5086" spans="4:4">
      <c r="D5086" s="16"/>
    </row>
    <row r="5087" spans="4:4">
      <c r="D5087" s="16"/>
    </row>
    <row r="5088" spans="4:4">
      <c r="D5088" s="16"/>
    </row>
    <row r="5089" spans="4:4">
      <c r="D5089" s="16"/>
    </row>
    <row r="5090" spans="4:4">
      <c r="D5090" s="16"/>
    </row>
    <row r="5091" spans="4:4">
      <c r="D5091" s="16"/>
    </row>
    <row r="5092" spans="4:4">
      <c r="D5092" s="16"/>
    </row>
    <row r="5093" spans="4:4">
      <c r="D5093" s="16"/>
    </row>
    <row r="5094" spans="4:4">
      <c r="D5094" s="16"/>
    </row>
    <row r="5095" spans="4:4">
      <c r="D5095" s="16"/>
    </row>
    <row r="5096" spans="4:4">
      <c r="D5096" s="16"/>
    </row>
    <row r="5097" spans="4:4">
      <c r="D5097" s="16"/>
    </row>
    <row r="5098" spans="4:4">
      <c r="D5098" s="16"/>
    </row>
    <row r="5099" spans="4:4">
      <c r="D5099" s="16"/>
    </row>
    <row r="5100" spans="4:4">
      <c r="D5100" s="16"/>
    </row>
    <row r="5101" spans="4:4">
      <c r="D5101" s="16"/>
    </row>
    <row r="5102" spans="4:4">
      <c r="D5102" s="16"/>
    </row>
    <row r="5103" spans="4:4">
      <c r="D5103" s="16"/>
    </row>
    <row r="5104" spans="4:4">
      <c r="D5104" s="16"/>
    </row>
    <row r="5105" spans="4:4">
      <c r="D5105" s="16"/>
    </row>
    <row r="5106" spans="4:4">
      <c r="D5106" s="16"/>
    </row>
    <row r="5107" spans="4:4">
      <c r="D5107" s="16"/>
    </row>
    <row r="5108" spans="4:4">
      <c r="D5108" s="16"/>
    </row>
    <row r="5109" spans="4:4">
      <c r="D5109" s="16"/>
    </row>
    <row r="5110" spans="4:4">
      <c r="D5110" s="16"/>
    </row>
    <row r="5111" spans="4:4">
      <c r="D5111" s="16"/>
    </row>
    <row r="5112" spans="4:4">
      <c r="D5112" s="16"/>
    </row>
    <row r="5113" spans="4:4">
      <c r="D5113" s="16"/>
    </row>
    <row r="5114" spans="4:4">
      <c r="D5114" s="16"/>
    </row>
    <row r="5115" spans="4:4">
      <c r="D5115" s="16"/>
    </row>
    <row r="5116" spans="4:4">
      <c r="D5116" s="16"/>
    </row>
    <row r="5117" spans="4:4">
      <c r="D5117" s="16"/>
    </row>
    <row r="5118" spans="4:4">
      <c r="D5118" s="16"/>
    </row>
    <row r="5119" spans="4:4">
      <c r="D5119" s="16"/>
    </row>
    <row r="5120" spans="4:4">
      <c r="D5120" s="16"/>
    </row>
    <row r="5121" spans="4:4">
      <c r="D5121" s="16"/>
    </row>
    <row r="5122" spans="4:4">
      <c r="D5122" s="16"/>
    </row>
    <row r="5123" spans="4:4">
      <c r="D5123" s="16"/>
    </row>
    <row r="5124" spans="4:4">
      <c r="D5124" s="16"/>
    </row>
    <row r="5125" spans="4:4">
      <c r="D5125" s="16"/>
    </row>
    <row r="5126" spans="4:4">
      <c r="D5126" s="16"/>
    </row>
    <row r="5127" spans="4:4">
      <c r="D5127" s="16"/>
    </row>
    <row r="5128" spans="4:4">
      <c r="D5128" s="16"/>
    </row>
    <row r="5129" spans="4:4">
      <c r="D5129" s="16"/>
    </row>
    <row r="5130" spans="4:4">
      <c r="D5130" s="16"/>
    </row>
    <row r="5131" spans="4:4">
      <c r="D5131" s="16"/>
    </row>
    <row r="5132" spans="4:4">
      <c r="D5132" s="16"/>
    </row>
    <row r="5133" spans="4:4">
      <c r="D5133" s="16"/>
    </row>
    <row r="5134" spans="4:4">
      <c r="D5134" s="16"/>
    </row>
    <row r="5135" spans="4:4">
      <c r="D5135" s="16"/>
    </row>
    <row r="5136" spans="4:4">
      <c r="D5136" s="16"/>
    </row>
    <row r="5137" spans="4:4">
      <c r="D5137" s="16"/>
    </row>
    <row r="5138" spans="4:4">
      <c r="D5138" s="16"/>
    </row>
    <row r="5139" spans="4:4">
      <c r="D5139" s="16"/>
    </row>
    <row r="5140" spans="4:4">
      <c r="D5140" s="16"/>
    </row>
    <row r="5141" spans="4:4">
      <c r="D5141" s="16"/>
    </row>
    <row r="5142" spans="4:4">
      <c r="D5142" s="16"/>
    </row>
    <row r="5143" spans="4:4">
      <c r="D5143" s="16"/>
    </row>
    <row r="5144" spans="4:4">
      <c r="D5144" s="16"/>
    </row>
    <row r="5145" spans="4:4">
      <c r="D5145" s="16"/>
    </row>
    <row r="5146" spans="4:4">
      <c r="D5146" s="16"/>
    </row>
    <row r="5147" spans="4:4">
      <c r="D5147" s="16"/>
    </row>
    <row r="5148" spans="4:4">
      <c r="D5148" s="16"/>
    </row>
    <row r="5149" spans="4:4">
      <c r="D5149" s="16"/>
    </row>
    <row r="5150" spans="4:4">
      <c r="D5150" s="16"/>
    </row>
    <row r="5151" spans="4:4">
      <c r="D5151" s="16"/>
    </row>
    <row r="5152" spans="4:4">
      <c r="D5152" s="16"/>
    </row>
    <row r="5153" spans="4:4">
      <c r="D5153" s="16"/>
    </row>
    <row r="5154" spans="4:4">
      <c r="D5154" s="16"/>
    </row>
    <row r="5155" spans="4:4">
      <c r="D5155" s="16"/>
    </row>
    <row r="5156" spans="4:4">
      <c r="D5156" s="16"/>
    </row>
    <row r="5157" spans="4:4">
      <c r="D5157" s="16"/>
    </row>
    <row r="5158" spans="4:4">
      <c r="D5158" s="16"/>
    </row>
    <row r="5159" spans="4:4">
      <c r="D5159" s="16"/>
    </row>
    <row r="5160" spans="4:4">
      <c r="D5160" s="16"/>
    </row>
    <row r="5161" spans="4:4">
      <c r="D5161" s="16"/>
    </row>
    <row r="5162" spans="4:4">
      <c r="D5162" s="16"/>
    </row>
    <row r="5163" spans="4:4">
      <c r="D5163" s="16"/>
    </row>
    <row r="5164" spans="4:4">
      <c r="D5164" s="16"/>
    </row>
    <row r="5165" spans="4:4">
      <c r="D5165" s="16"/>
    </row>
    <row r="5166" spans="4:4">
      <c r="D5166" s="16"/>
    </row>
    <row r="5167" spans="4:4">
      <c r="D5167" s="16"/>
    </row>
    <row r="5168" spans="4:4">
      <c r="D5168" s="16"/>
    </row>
    <row r="5169" spans="4:4">
      <c r="D5169" s="16"/>
    </row>
    <row r="5170" spans="4:4">
      <c r="D5170" s="16"/>
    </row>
    <row r="5171" spans="4:4">
      <c r="D5171" s="16"/>
    </row>
    <row r="5172" spans="4:4">
      <c r="D5172" s="16"/>
    </row>
    <row r="5173" spans="4:4">
      <c r="D5173" s="16"/>
    </row>
    <row r="5174" spans="4:4">
      <c r="D5174" s="16"/>
    </row>
    <row r="5175" spans="4:4">
      <c r="D5175" s="16"/>
    </row>
    <row r="5176" spans="4:4">
      <c r="D5176" s="16"/>
    </row>
    <row r="5177" spans="4:4">
      <c r="D5177" s="16"/>
    </row>
    <row r="5178" spans="4:4">
      <c r="D5178" s="16"/>
    </row>
    <row r="5179" spans="4:4">
      <c r="D5179" s="16"/>
    </row>
    <row r="5180" spans="4:4">
      <c r="D5180" s="16"/>
    </row>
    <row r="5181" spans="4:4">
      <c r="D5181" s="16"/>
    </row>
    <row r="5182" spans="4:4">
      <c r="D5182" s="16"/>
    </row>
    <row r="5183" spans="4:4">
      <c r="D5183" s="16"/>
    </row>
    <row r="5184" spans="4:4">
      <c r="D5184" s="16"/>
    </row>
    <row r="5185" spans="4:4">
      <c r="D5185" s="16"/>
    </row>
    <row r="5186" spans="4:4">
      <c r="D5186" s="16"/>
    </row>
    <row r="5187" spans="4:4">
      <c r="D5187" s="16"/>
    </row>
    <row r="5188" spans="4:4">
      <c r="D5188" s="16"/>
    </row>
    <row r="5189" spans="4:4">
      <c r="D5189" s="16"/>
    </row>
    <row r="5190" spans="4:4">
      <c r="D5190" s="16"/>
    </row>
    <row r="5191" spans="4:4">
      <c r="D5191" s="16"/>
    </row>
    <row r="5192" spans="4:4">
      <c r="D5192" s="16"/>
    </row>
    <row r="5193" spans="4:4">
      <c r="D5193" s="16"/>
    </row>
    <row r="5194" spans="4:4">
      <c r="D5194" s="16"/>
    </row>
    <row r="5195" spans="4:4">
      <c r="D5195" s="16"/>
    </row>
    <row r="5196" spans="4:4">
      <c r="D5196" s="16"/>
    </row>
    <row r="5197" spans="4:4">
      <c r="D5197" s="16"/>
    </row>
    <row r="5198" spans="4:4">
      <c r="D5198" s="16"/>
    </row>
    <row r="5199" spans="4:4">
      <c r="D5199" s="16"/>
    </row>
    <row r="5200" spans="4:4">
      <c r="D5200" s="16"/>
    </row>
    <row r="5201" spans="4:4">
      <c r="D5201" s="16"/>
    </row>
    <row r="5202" spans="4:4">
      <c r="D5202" s="16"/>
    </row>
    <row r="5203" spans="4:4">
      <c r="D5203" s="16"/>
    </row>
    <row r="5204" spans="4:4">
      <c r="D5204" s="16"/>
    </row>
    <row r="5205" spans="4:4">
      <c r="D5205" s="16"/>
    </row>
    <row r="5206" spans="4:4">
      <c r="D5206" s="16"/>
    </row>
    <row r="5207" spans="4:4">
      <c r="D5207" s="16"/>
    </row>
    <row r="5208" spans="4:4">
      <c r="D5208" s="16"/>
    </row>
    <row r="5209" spans="4:4">
      <c r="D5209" s="16"/>
    </row>
    <row r="5210" spans="4:4">
      <c r="D5210" s="16"/>
    </row>
    <row r="5211" spans="4:4">
      <c r="D5211" s="16"/>
    </row>
    <row r="5212" spans="4:4">
      <c r="D5212" s="16"/>
    </row>
    <row r="5213" spans="4:4">
      <c r="D5213" s="16"/>
    </row>
    <row r="5214" spans="4:4">
      <c r="D5214" s="16"/>
    </row>
    <row r="5215" spans="4:4">
      <c r="D5215" s="16"/>
    </row>
    <row r="5216" spans="4:4">
      <c r="D5216" s="16"/>
    </row>
    <row r="5217" spans="4:4">
      <c r="D5217" s="16"/>
    </row>
    <row r="5218" spans="4:4">
      <c r="D5218" s="16"/>
    </row>
    <row r="5219" spans="4:4">
      <c r="D5219" s="16"/>
    </row>
    <row r="5220" spans="4:4">
      <c r="D5220" s="16"/>
    </row>
    <row r="5221" spans="4:4">
      <c r="D5221" s="16"/>
    </row>
    <row r="5222" spans="4:4">
      <c r="D5222" s="16"/>
    </row>
    <row r="5223" spans="4:4">
      <c r="D5223" s="16"/>
    </row>
    <row r="5224" spans="4:4">
      <c r="D5224" s="16"/>
    </row>
    <row r="5225" spans="4:4">
      <c r="D5225" s="16"/>
    </row>
    <row r="5226" spans="4:4">
      <c r="D5226" s="16"/>
    </row>
    <row r="5227" spans="4:4">
      <c r="D5227" s="16"/>
    </row>
    <row r="5228" spans="4:4">
      <c r="D5228" s="16"/>
    </row>
    <row r="5229" spans="4:4">
      <c r="D5229" s="16"/>
    </row>
    <row r="5230" spans="4:4">
      <c r="D5230" s="16"/>
    </row>
    <row r="5231" spans="4:4">
      <c r="D5231" s="16"/>
    </row>
    <row r="5232" spans="4:4">
      <c r="D5232" s="16"/>
    </row>
    <row r="5233" spans="4:4">
      <c r="D5233" s="16"/>
    </row>
    <row r="5234" spans="4:4">
      <c r="D5234" s="16"/>
    </row>
    <row r="5235" spans="4:4">
      <c r="D5235" s="16"/>
    </row>
    <row r="5236" spans="4:4">
      <c r="D5236" s="16"/>
    </row>
    <row r="5237" spans="4:4">
      <c r="D5237" s="16"/>
    </row>
    <row r="5238" spans="4:4">
      <c r="D5238" s="16"/>
    </row>
    <row r="5239" spans="4:4">
      <c r="D5239" s="16"/>
    </row>
    <row r="5240" spans="4:4">
      <c r="D5240" s="16"/>
    </row>
    <row r="5241" spans="4:4">
      <c r="D5241" s="16"/>
    </row>
    <row r="5242" spans="4:4">
      <c r="D5242" s="16"/>
    </row>
    <row r="5243" spans="4:4">
      <c r="D5243" s="16"/>
    </row>
    <row r="5244" spans="4:4">
      <c r="D5244" s="16"/>
    </row>
    <row r="5245" spans="4:4">
      <c r="D5245" s="16"/>
    </row>
    <row r="5246" spans="4:4">
      <c r="D5246" s="16"/>
    </row>
    <row r="5247" spans="4:4">
      <c r="D5247" s="16"/>
    </row>
    <row r="5248" spans="4:4">
      <c r="D5248" s="16"/>
    </row>
    <row r="5249" spans="4:4">
      <c r="D5249" s="16"/>
    </row>
    <row r="5250" spans="4:4">
      <c r="D5250" s="16"/>
    </row>
    <row r="5251" spans="4:4">
      <c r="D5251" s="16"/>
    </row>
    <row r="5252" spans="4:4">
      <c r="D5252" s="16"/>
    </row>
    <row r="5253" spans="4:4">
      <c r="D5253" s="16"/>
    </row>
    <row r="5254" spans="4:4">
      <c r="D5254" s="16"/>
    </row>
    <row r="5255" spans="4:4">
      <c r="D5255" s="16"/>
    </row>
    <row r="5256" spans="4:4">
      <c r="D5256" s="16"/>
    </row>
    <row r="5257" spans="4:4">
      <c r="D5257" s="16"/>
    </row>
    <row r="5258" spans="4:4">
      <c r="D5258" s="16"/>
    </row>
    <row r="5259" spans="4:4">
      <c r="D5259" s="16"/>
    </row>
    <row r="5260" spans="4:4">
      <c r="D5260" s="16"/>
    </row>
    <row r="5261" spans="4:4">
      <c r="D5261" s="16"/>
    </row>
    <row r="5262" spans="4:4">
      <c r="D5262" s="16"/>
    </row>
    <row r="5263" spans="4:4">
      <c r="D5263" s="16"/>
    </row>
    <row r="5264" spans="4:4">
      <c r="D5264" s="16"/>
    </row>
    <row r="5265" spans="4:4">
      <c r="D5265" s="16"/>
    </row>
    <row r="5266" spans="4:4">
      <c r="D5266" s="16"/>
    </row>
    <row r="5267" spans="4:4">
      <c r="D5267" s="16"/>
    </row>
    <row r="5268" spans="4:4">
      <c r="D5268" s="16"/>
    </row>
    <row r="5269" spans="4:4">
      <c r="D5269" s="16"/>
    </row>
    <row r="5270" spans="4:4">
      <c r="D5270" s="16"/>
    </row>
    <row r="5271" spans="4:4">
      <c r="D5271" s="16"/>
    </row>
    <row r="5272" spans="4:4">
      <c r="D5272" s="16"/>
    </row>
    <row r="5273" spans="4:4">
      <c r="D5273" s="16"/>
    </row>
    <row r="5274" spans="4:4">
      <c r="D5274" s="16"/>
    </row>
    <row r="5275" spans="4:4">
      <c r="D5275" s="16"/>
    </row>
    <row r="5276" spans="4:4">
      <c r="D5276" s="16"/>
    </row>
    <row r="5277" spans="4:4">
      <c r="D5277" s="16"/>
    </row>
    <row r="5278" spans="4:4">
      <c r="D5278" s="16"/>
    </row>
    <row r="5279" spans="4:4">
      <c r="D5279" s="16"/>
    </row>
    <row r="5280" spans="4:4">
      <c r="D5280" s="16"/>
    </row>
    <row r="5281" spans="4:4">
      <c r="D5281" s="16"/>
    </row>
    <row r="5282" spans="4:4">
      <c r="D5282" s="16"/>
    </row>
    <row r="5283" spans="4:4">
      <c r="D5283" s="16"/>
    </row>
    <row r="5284" spans="4:4">
      <c r="D5284" s="16"/>
    </row>
    <row r="5285" spans="4:4">
      <c r="D5285" s="16"/>
    </row>
    <row r="5286" spans="4:4">
      <c r="D5286" s="16"/>
    </row>
    <row r="5287" spans="4:4">
      <c r="D5287" s="16"/>
    </row>
    <row r="5288" spans="4:4">
      <c r="D5288" s="16"/>
    </row>
    <row r="5289" spans="4:4">
      <c r="D5289" s="16"/>
    </row>
    <row r="5290" spans="4:4">
      <c r="D5290" s="16"/>
    </row>
    <row r="5291" spans="4:4">
      <c r="D5291" s="16"/>
    </row>
    <row r="5292" spans="4:4">
      <c r="D5292" s="16"/>
    </row>
    <row r="5293" spans="4:4">
      <c r="D5293" s="16"/>
    </row>
    <row r="5294" spans="4:4">
      <c r="D5294" s="16"/>
    </row>
    <row r="5295" spans="4:4">
      <c r="D5295" s="16"/>
    </row>
    <row r="5296" spans="4:4">
      <c r="D5296" s="16"/>
    </row>
    <row r="5297" spans="4:4">
      <c r="D5297" s="16"/>
    </row>
    <row r="5298" spans="4:4">
      <c r="D5298" s="16"/>
    </row>
    <row r="5299" spans="4:4">
      <c r="D5299" s="16"/>
    </row>
    <row r="5300" spans="4:4">
      <c r="D5300" s="16"/>
    </row>
    <row r="5301" spans="4:4">
      <c r="D5301" s="16"/>
    </row>
    <row r="5302" spans="4:4">
      <c r="D5302" s="16"/>
    </row>
    <row r="5303" spans="4:4">
      <c r="D5303" s="16"/>
    </row>
    <row r="5304" spans="4:4">
      <c r="D5304" s="16"/>
    </row>
    <row r="5305" spans="4:4">
      <c r="D5305" s="16"/>
    </row>
    <row r="5306" spans="4:4">
      <c r="D5306" s="16"/>
    </row>
    <row r="5307" spans="4:4">
      <c r="D5307" s="16"/>
    </row>
    <row r="5308" spans="4:4">
      <c r="D5308" s="16"/>
    </row>
    <row r="5309" spans="4:4">
      <c r="D5309" s="16"/>
    </row>
    <row r="5310" spans="4:4">
      <c r="D5310" s="16"/>
    </row>
    <row r="5311" spans="4:4">
      <c r="D5311" s="16"/>
    </row>
    <row r="5312" spans="4:4">
      <c r="D5312" s="16"/>
    </row>
    <row r="5313" spans="4:4">
      <c r="D5313" s="16"/>
    </row>
    <row r="5314" spans="4:4">
      <c r="D5314" s="16"/>
    </row>
    <row r="5315" spans="4:4">
      <c r="D5315" s="16"/>
    </row>
    <row r="5316" spans="4:4">
      <c r="D5316" s="16"/>
    </row>
    <row r="5317" spans="4:4">
      <c r="D5317" s="16"/>
    </row>
    <row r="5318" spans="4:4">
      <c r="D5318" s="16"/>
    </row>
    <row r="5319" spans="4:4">
      <c r="D5319" s="16"/>
    </row>
    <row r="5320" spans="4:4">
      <c r="D5320" s="16"/>
    </row>
    <row r="5321" spans="4:4">
      <c r="D5321" s="16"/>
    </row>
    <row r="5322" spans="4:4">
      <c r="D5322" s="16"/>
    </row>
    <row r="5323" spans="4:4">
      <c r="D5323" s="16"/>
    </row>
    <row r="5324" spans="4:4">
      <c r="D5324" s="16"/>
    </row>
    <row r="5325" spans="4:4">
      <c r="D5325" s="16"/>
    </row>
    <row r="5326" spans="4:4">
      <c r="D5326" s="16"/>
    </row>
    <row r="5327" spans="4:4">
      <c r="D5327" s="16"/>
    </row>
    <row r="5328" spans="4:4">
      <c r="D5328" s="16"/>
    </row>
    <row r="5329" spans="4:4">
      <c r="D5329" s="16"/>
    </row>
    <row r="5330" spans="4:4">
      <c r="D5330" s="16"/>
    </row>
    <row r="5331" spans="4:4">
      <c r="D5331" s="16"/>
    </row>
    <row r="5332" spans="4:4">
      <c r="D5332" s="16"/>
    </row>
    <row r="5333" spans="4:4">
      <c r="D5333" s="16"/>
    </row>
    <row r="5334" spans="4:4">
      <c r="D5334" s="16"/>
    </row>
    <row r="5335" spans="4:4">
      <c r="D5335" s="16"/>
    </row>
    <row r="5336" spans="4:4">
      <c r="D5336" s="16"/>
    </row>
    <row r="5337" spans="4:4">
      <c r="D5337" s="16"/>
    </row>
    <row r="5338" spans="4:4">
      <c r="D5338" s="16"/>
    </row>
    <row r="5339" spans="4:4">
      <c r="D5339" s="16"/>
    </row>
    <row r="5340" spans="4:4">
      <c r="D5340" s="16"/>
    </row>
    <row r="5341" spans="4:4">
      <c r="D5341" s="16"/>
    </row>
    <row r="5342" spans="4:4">
      <c r="D5342" s="16"/>
    </row>
    <row r="5343" spans="4:4">
      <c r="D5343" s="16"/>
    </row>
    <row r="5344" spans="4:4">
      <c r="D5344" s="16"/>
    </row>
    <row r="5345" spans="4:4">
      <c r="D5345" s="16"/>
    </row>
    <row r="5346" spans="4:4">
      <c r="D5346" s="16"/>
    </row>
    <row r="5347" spans="4:4">
      <c r="D5347" s="16"/>
    </row>
    <row r="5348" spans="4:4">
      <c r="D5348" s="16"/>
    </row>
    <row r="5349" spans="4:4">
      <c r="D5349" s="16"/>
    </row>
    <row r="5350" spans="4:4">
      <c r="D5350" s="16"/>
    </row>
    <row r="5351" spans="4:4">
      <c r="D5351" s="16"/>
    </row>
    <row r="5352" spans="4:4">
      <c r="D5352" s="16"/>
    </row>
    <row r="5353" spans="4:4">
      <c r="D5353" s="16"/>
    </row>
    <row r="5354" spans="4:4">
      <c r="D5354" s="16"/>
    </row>
    <row r="5355" spans="4:4">
      <c r="D5355" s="16"/>
    </row>
    <row r="5356" spans="4:4">
      <c r="D5356" s="16"/>
    </row>
    <row r="5357" spans="4:4">
      <c r="D5357" s="16"/>
    </row>
    <row r="5358" spans="4:4">
      <c r="D5358" s="16"/>
    </row>
    <row r="5359" spans="4:4">
      <c r="D5359" s="16"/>
    </row>
    <row r="5360" spans="4:4">
      <c r="D5360" s="16"/>
    </row>
    <row r="5361" spans="4:4">
      <c r="D5361" s="16"/>
    </row>
    <row r="5362" spans="4:4">
      <c r="D5362" s="16"/>
    </row>
    <row r="5363" spans="4:4">
      <c r="D5363" s="16"/>
    </row>
    <row r="5364" spans="4:4">
      <c r="D5364" s="16"/>
    </row>
    <row r="5365" spans="4:4">
      <c r="D5365" s="16"/>
    </row>
    <row r="5366" spans="4:4">
      <c r="D5366" s="16"/>
    </row>
    <row r="5367" spans="4:4">
      <c r="D5367" s="16"/>
    </row>
    <row r="5368" spans="4:4">
      <c r="D5368" s="16"/>
    </row>
    <row r="5369" spans="4:4">
      <c r="D5369" s="16"/>
    </row>
    <row r="5370" spans="4:4">
      <c r="D5370" s="16"/>
    </row>
    <row r="5371" spans="4:4">
      <c r="D5371" s="16"/>
    </row>
    <row r="5372" spans="4:4">
      <c r="D5372" s="16"/>
    </row>
    <row r="5373" spans="4:4">
      <c r="D5373" s="16"/>
    </row>
    <row r="5374" spans="4:4">
      <c r="D5374" s="16"/>
    </row>
    <row r="5375" spans="4:4">
      <c r="D5375" s="16"/>
    </row>
    <row r="5376" spans="4:4">
      <c r="D5376" s="16"/>
    </row>
    <row r="5377" spans="4:4">
      <c r="D5377" s="16"/>
    </row>
    <row r="5378" spans="4:4">
      <c r="D5378" s="16"/>
    </row>
    <row r="5379" spans="4:4">
      <c r="D5379" s="16"/>
    </row>
    <row r="5380" spans="4:4">
      <c r="D5380" s="16"/>
    </row>
    <row r="5381" spans="4:4">
      <c r="D5381" s="16"/>
    </row>
    <row r="5382" spans="4:4">
      <c r="D5382" s="16"/>
    </row>
    <row r="5383" spans="4:4">
      <c r="D5383" s="16"/>
    </row>
    <row r="5384" spans="4:4">
      <c r="D5384" s="16"/>
    </row>
    <row r="5385" spans="4:4">
      <c r="D5385" s="16"/>
    </row>
    <row r="5386" spans="4:4">
      <c r="D5386" s="16"/>
    </row>
    <row r="5387" spans="4:4">
      <c r="D5387" s="16"/>
    </row>
    <row r="5388" spans="4:4">
      <c r="D5388" s="16"/>
    </row>
    <row r="5389" spans="4:4">
      <c r="D5389" s="16"/>
    </row>
    <row r="5390" spans="4:4">
      <c r="D5390" s="16"/>
    </row>
    <row r="5391" spans="4:4">
      <c r="D5391" s="16"/>
    </row>
    <row r="5392" spans="4:4">
      <c r="D5392" s="16"/>
    </row>
    <row r="5393" spans="4:4">
      <c r="D5393" s="16"/>
    </row>
    <row r="5394" spans="4:4">
      <c r="D5394" s="16"/>
    </row>
    <row r="5395" spans="4:4">
      <c r="D5395" s="16"/>
    </row>
    <row r="5396" spans="4:4">
      <c r="D5396" s="16"/>
    </row>
    <row r="5397" spans="4:4">
      <c r="D5397" s="16"/>
    </row>
    <row r="5398" spans="4:4">
      <c r="D5398" s="16"/>
    </row>
    <row r="5399" spans="4:4">
      <c r="D5399" s="16"/>
    </row>
    <row r="5400" spans="4:4">
      <c r="D5400" s="16"/>
    </row>
    <row r="5401" spans="4:4">
      <c r="D5401" s="16"/>
    </row>
    <row r="5402" spans="4:4">
      <c r="D5402" s="16"/>
    </row>
    <row r="5403" spans="4:4">
      <c r="D5403" s="16"/>
    </row>
    <row r="5404" spans="4:4">
      <c r="D5404" s="16"/>
    </row>
    <row r="5405" spans="4:4">
      <c r="D5405" s="16"/>
    </row>
    <row r="5406" spans="4:4">
      <c r="D5406" s="16"/>
    </row>
    <row r="5407" spans="4:4">
      <c r="D5407" s="16"/>
    </row>
    <row r="5408" spans="4:4">
      <c r="D5408" s="16"/>
    </row>
    <row r="5409" spans="4:4">
      <c r="D5409" s="16"/>
    </row>
    <row r="5410" spans="4:4">
      <c r="D5410" s="16"/>
    </row>
    <row r="5411" spans="4:4">
      <c r="D5411" s="16"/>
    </row>
    <row r="5412" spans="4:4">
      <c r="D5412" s="16"/>
    </row>
    <row r="5413" spans="4:4">
      <c r="D5413" s="16"/>
    </row>
    <row r="5414" spans="4:4">
      <c r="D5414" s="16"/>
    </row>
    <row r="5415" spans="4:4">
      <c r="D5415" s="16"/>
    </row>
    <row r="5416" spans="4:4">
      <c r="D5416" s="16"/>
    </row>
    <row r="5417" spans="4:4">
      <c r="D5417" s="16"/>
    </row>
    <row r="5418" spans="4:4">
      <c r="D5418" s="16"/>
    </row>
    <row r="5419" spans="4:4">
      <c r="D5419" s="16"/>
    </row>
    <row r="5420" spans="4:4">
      <c r="D5420" s="16"/>
    </row>
    <row r="5421" spans="4:4">
      <c r="D5421" s="16"/>
    </row>
    <row r="5422" spans="4:4">
      <c r="D5422" s="16"/>
    </row>
    <row r="5423" spans="4:4">
      <c r="D5423" s="16"/>
    </row>
    <row r="5424" spans="4:4">
      <c r="D5424" s="16"/>
    </row>
    <row r="5425" spans="4:4">
      <c r="D5425" s="16"/>
    </row>
    <row r="5426" spans="4:4">
      <c r="D5426" s="16"/>
    </row>
    <row r="5427" spans="4:4">
      <c r="D5427" s="16"/>
    </row>
    <row r="5428" spans="4:4">
      <c r="D5428" s="16"/>
    </row>
    <row r="5429" spans="4:4">
      <c r="D5429" s="16"/>
    </row>
    <row r="5430" spans="4:4">
      <c r="D5430" s="16"/>
    </row>
    <row r="5431" spans="4:4">
      <c r="D5431" s="16"/>
    </row>
    <row r="5432" spans="4:4">
      <c r="D5432" s="16"/>
    </row>
    <row r="5433" spans="4:4">
      <c r="D5433" s="16"/>
    </row>
    <row r="5434" spans="4:4">
      <c r="D5434" s="16"/>
    </row>
    <row r="5435" spans="4:4">
      <c r="D5435" s="16"/>
    </row>
    <row r="5436" spans="4:4">
      <c r="D5436" s="16"/>
    </row>
    <row r="5437" spans="4:4">
      <c r="D5437" s="16"/>
    </row>
    <row r="5438" spans="4:4">
      <c r="D5438" s="16"/>
    </row>
    <row r="5439" spans="4:4">
      <c r="D5439" s="16"/>
    </row>
    <row r="5440" spans="4:4">
      <c r="D5440" s="16"/>
    </row>
    <row r="5441" spans="4:4">
      <c r="D5441" s="16"/>
    </row>
    <row r="5442" spans="4:4">
      <c r="D5442" s="16"/>
    </row>
    <row r="5443" spans="4:4">
      <c r="D5443" s="16"/>
    </row>
    <row r="5444" spans="4:4">
      <c r="D5444" s="16"/>
    </row>
    <row r="5445" spans="4:4">
      <c r="D5445" s="16"/>
    </row>
    <row r="5446" spans="4:4">
      <c r="D5446" s="16"/>
    </row>
    <row r="5447" spans="4:4">
      <c r="D5447" s="16"/>
    </row>
    <row r="5448" spans="4:4">
      <c r="D5448" s="16"/>
    </row>
    <row r="5449" spans="4:4">
      <c r="D5449" s="16"/>
    </row>
    <row r="5450" spans="4:4">
      <c r="D5450" s="16"/>
    </row>
    <row r="5451" spans="4:4">
      <c r="D5451" s="16"/>
    </row>
    <row r="5452" spans="4:4">
      <c r="D5452" s="16"/>
    </row>
    <row r="5453" spans="4:4">
      <c r="D5453" s="16"/>
    </row>
    <row r="5454" spans="4:4">
      <c r="D5454" s="16"/>
    </row>
    <row r="5455" spans="4:4">
      <c r="D5455" s="16"/>
    </row>
    <row r="5456" spans="4:4">
      <c r="D5456" s="16"/>
    </row>
    <row r="5457" spans="4:4">
      <c r="D5457" s="16"/>
    </row>
    <row r="5458" spans="4:4">
      <c r="D5458" s="16"/>
    </row>
    <row r="5459" spans="4:4">
      <c r="D5459" s="16"/>
    </row>
    <row r="5460" spans="4:4">
      <c r="D5460" s="16"/>
    </row>
    <row r="5461" spans="4:4">
      <c r="D5461" s="16"/>
    </row>
    <row r="5462" spans="4:4">
      <c r="D5462" s="16"/>
    </row>
    <row r="5463" spans="4:4">
      <c r="D5463" s="16"/>
    </row>
    <row r="5464" spans="4:4">
      <c r="D5464" s="16"/>
    </row>
    <row r="5465" spans="4:4">
      <c r="D5465" s="16"/>
    </row>
    <row r="5466" spans="4:4">
      <c r="D5466" s="16"/>
    </row>
    <row r="5467" spans="4:4">
      <c r="D5467" s="16"/>
    </row>
    <row r="5468" spans="4:4">
      <c r="D5468" s="16"/>
    </row>
    <row r="5469" spans="4:4">
      <c r="D5469" s="16"/>
    </row>
    <row r="5470" spans="4:4">
      <c r="D5470" s="16"/>
    </row>
    <row r="5471" spans="4:4">
      <c r="D5471" s="16"/>
    </row>
    <row r="5472" spans="4:4">
      <c r="D5472" s="16"/>
    </row>
    <row r="5473" spans="4:4">
      <c r="D5473" s="16"/>
    </row>
    <row r="5474" spans="4:4">
      <c r="D5474" s="16"/>
    </row>
    <row r="5475" spans="4:4">
      <c r="D5475" s="16"/>
    </row>
    <row r="5476" spans="4:4">
      <c r="D5476" s="16"/>
    </row>
    <row r="5477" spans="4:4">
      <c r="D5477" s="16"/>
    </row>
    <row r="5478" spans="4:4">
      <c r="D5478" s="16"/>
    </row>
    <row r="5479" spans="4:4">
      <c r="D5479" s="16"/>
    </row>
    <row r="5480" spans="4:4">
      <c r="D5480" s="16"/>
    </row>
    <row r="5481" spans="4:4">
      <c r="D5481" s="16"/>
    </row>
    <row r="5482" spans="4:4">
      <c r="D5482" s="16"/>
    </row>
    <row r="5483" spans="4:4">
      <c r="D5483" s="16"/>
    </row>
    <row r="5484" spans="4:4">
      <c r="D5484" s="16"/>
    </row>
    <row r="5485" spans="4:4">
      <c r="D5485" s="16"/>
    </row>
    <row r="5486" spans="4:4">
      <c r="D5486" s="16"/>
    </row>
    <row r="5487" spans="4:4">
      <c r="D5487" s="16"/>
    </row>
    <row r="5488" spans="4:4">
      <c r="D5488" s="16"/>
    </row>
    <row r="5489" spans="4:4">
      <c r="D5489" s="16"/>
    </row>
    <row r="5490" spans="4:4">
      <c r="D5490" s="16"/>
    </row>
    <row r="5491" spans="4:4">
      <c r="D5491" s="16"/>
    </row>
    <row r="5492" spans="4:4">
      <c r="D5492" s="16"/>
    </row>
    <row r="5493" spans="4:4">
      <c r="D5493" s="16"/>
    </row>
    <row r="5494" spans="4:4">
      <c r="D5494" s="16"/>
    </row>
    <row r="5495" spans="4:4">
      <c r="D5495" s="16"/>
    </row>
    <row r="5496" spans="4:4">
      <c r="D5496" s="16"/>
    </row>
    <row r="5497" spans="4:4">
      <c r="D5497" s="16"/>
    </row>
    <row r="5498" spans="4:4">
      <c r="D5498" s="16"/>
    </row>
    <row r="5499" spans="4:4">
      <c r="D5499" s="16"/>
    </row>
    <row r="5500" spans="4:4">
      <c r="D5500" s="16"/>
    </row>
    <row r="5501" spans="4:4">
      <c r="D5501" s="16"/>
    </row>
    <row r="5502" spans="4:4">
      <c r="D5502" s="16"/>
    </row>
    <row r="5503" spans="4:4">
      <c r="D5503" s="16"/>
    </row>
    <row r="5504" spans="4:4">
      <c r="D5504" s="16"/>
    </row>
    <row r="5505" spans="4:4">
      <c r="D5505" s="16"/>
    </row>
    <row r="5506" spans="4:4">
      <c r="D5506" s="16"/>
    </row>
    <row r="5507" spans="4:4">
      <c r="D5507" s="16"/>
    </row>
    <row r="5508" spans="4:4">
      <c r="D5508" s="16"/>
    </row>
    <row r="5509" spans="4:4">
      <c r="D5509" s="16"/>
    </row>
    <row r="5510" spans="4:4">
      <c r="D5510" s="16"/>
    </row>
    <row r="5511" spans="4:4">
      <c r="D5511" s="16"/>
    </row>
    <row r="5512" spans="4:4">
      <c r="D5512" s="16"/>
    </row>
    <row r="5513" spans="4:4">
      <c r="D5513" s="16"/>
    </row>
    <row r="5514" spans="4:4">
      <c r="D5514" s="16"/>
    </row>
    <row r="5515" spans="4:4">
      <c r="D5515" s="16"/>
    </row>
    <row r="5516" spans="4:4">
      <c r="D5516" s="16"/>
    </row>
    <row r="5517" spans="4:4">
      <c r="D5517" s="16"/>
    </row>
    <row r="5518" spans="4:4">
      <c r="D5518" s="16"/>
    </row>
    <row r="5519" spans="4:4">
      <c r="D5519" s="16"/>
    </row>
    <row r="5520" spans="4:4">
      <c r="D5520" s="16"/>
    </row>
    <row r="5521" spans="4:4">
      <c r="D5521" s="16"/>
    </row>
    <row r="5522" spans="4:4">
      <c r="D5522" s="16"/>
    </row>
    <row r="5523" spans="4:4">
      <c r="D5523" s="16"/>
    </row>
    <row r="5524" spans="4:4">
      <c r="D5524" s="16"/>
    </row>
    <row r="5525" spans="4:4">
      <c r="D5525" s="16"/>
    </row>
    <row r="5526" spans="4:4">
      <c r="D5526" s="16"/>
    </row>
    <row r="5527" spans="4:4">
      <c r="D5527" s="16"/>
    </row>
    <row r="5528" spans="4:4">
      <c r="D5528" s="16"/>
    </row>
    <row r="5529" spans="4:4">
      <c r="D5529" s="16"/>
    </row>
    <row r="5530" spans="4:4">
      <c r="D5530" s="16"/>
    </row>
    <row r="5531" spans="4:4">
      <c r="D5531" s="16"/>
    </row>
    <row r="5532" spans="4:4">
      <c r="D5532" s="16"/>
    </row>
    <row r="5533" spans="4:4">
      <c r="D5533" s="16"/>
    </row>
    <row r="5534" spans="4:4">
      <c r="D5534" s="16"/>
    </row>
    <row r="5535" spans="4:4">
      <c r="D5535" s="16"/>
    </row>
    <row r="5536" spans="4:4">
      <c r="D5536" s="16"/>
    </row>
    <row r="5537" spans="4:4">
      <c r="D5537" s="16"/>
    </row>
    <row r="5538" spans="4:4">
      <c r="D5538" s="16"/>
    </row>
    <row r="5539" spans="4:4">
      <c r="D5539" s="16"/>
    </row>
    <row r="5540" spans="4:4">
      <c r="D5540" s="16"/>
    </row>
    <row r="5541" spans="4:4">
      <c r="D5541" s="16"/>
    </row>
    <row r="5542" spans="4:4">
      <c r="D5542" s="16"/>
    </row>
    <row r="5543" spans="4:4">
      <c r="D5543" s="16"/>
    </row>
    <row r="5544" spans="4:4">
      <c r="D5544" s="16"/>
    </row>
    <row r="5545" spans="4:4">
      <c r="D5545" s="16"/>
    </row>
    <row r="5546" spans="4:4">
      <c r="D5546" s="16"/>
    </row>
    <row r="5547" spans="4:4">
      <c r="D5547" s="16"/>
    </row>
    <row r="5548" spans="4:4">
      <c r="D5548" s="16"/>
    </row>
    <row r="5549" spans="4:4">
      <c r="D5549" s="16"/>
    </row>
    <row r="5550" spans="4:4">
      <c r="D5550" s="16"/>
    </row>
    <row r="5551" spans="4:4">
      <c r="D5551" s="16"/>
    </row>
    <row r="5552" spans="4:4">
      <c r="D5552" s="16"/>
    </row>
    <row r="5553" spans="4:4">
      <c r="D5553" s="16"/>
    </row>
    <row r="5554" spans="4:4">
      <c r="D5554" s="16"/>
    </row>
    <row r="5555" spans="4:4">
      <c r="D5555" s="16"/>
    </row>
    <row r="5556" spans="4:4">
      <c r="D5556" s="16"/>
    </row>
    <row r="5557" spans="4:4">
      <c r="D5557" s="16"/>
    </row>
    <row r="5558" spans="4:4">
      <c r="D5558" s="16"/>
    </row>
    <row r="5559" spans="4:4">
      <c r="D5559" s="16"/>
    </row>
    <row r="5560" spans="4:4">
      <c r="D5560" s="16"/>
    </row>
    <row r="5561" spans="4:4">
      <c r="D5561" s="16"/>
    </row>
    <row r="5562" spans="4:4">
      <c r="D5562" s="16"/>
    </row>
    <row r="5563" spans="4:4">
      <c r="D5563" s="16"/>
    </row>
    <row r="5564" spans="4:4">
      <c r="D5564" s="16"/>
    </row>
    <row r="5565" spans="4:4">
      <c r="D5565" s="16"/>
    </row>
    <row r="5566" spans="4:4">
      <c r="D5566" s="16"/>
    </row>
    <row r="5567" spans="4:4">
      <c r="D5567" s="16"/>
    </row>
    <row r="5568" spans="4:4">
      <c r="D5568" s="16"/>
    </row>
    <row r="5569" spans="4:4">
      <c r="D5569" s="16"/>
    </row>
    <row r="5570" spans="4:4">
      <c r="D5570" s="16"/>
    </row>
    <row r="5571" spans="4:4">
      <c r="D5571" s="16"/>
    </row>
    <row r="5572" spans="4:4">
      <c r="D5572" s="16"/>
    </row>
    <row r="5573" spans="4:4">
      <c r="D5573" s="16"/>
    </row>
    <row r="5574" spans="4:4">
      <c r="D5574" s="16"/>
    </row>
    <row r="5575" spans="4:4">
      <c r="D5575" s="16"/>
    </row>
    <row r="5576" spans="4:4">
      <c r="D5576" s="16"/>
    </row>
    <row r="5577" spans="4:4">
      <c r="D5577" s="16"/>
    </row>
    <row r="5578" spans="4:4">
      <c r="D5578" s="16"/>
    </row>
    <row r="5579" spans="4:4">
      <c r="D5579" s="16"/>
    </row>
    <row r="5580" spans="4:4">
      <c r="D5580" s="16"/>
    </row>
    <row r="5581" spans="4:4">
      <c r="D5581" s="16"/>
    </row>
    <row r="5582" spans="4:4">
      <c r="D5582" s="16"/>
    </row>
    <row r="5583" spans="4:4">
      <c r="D5583" s="16"/>
    </row>
    <row r="5584" spans="4:4">
      <c r="D5584" s="16"/>
    </row>
    <row r="5585" spans="4:4">
      <c r="D5585" s="16"/>
    </row>
    <row r="5586" spans="4:4">
      <c r="D5586" s="16"/>
    </row>
    <row r="5587" spans="4:4">
      <c r="D5587" s="16"/>
    </row>
    <row r="5588" spans="4:4">
      <c r="D5588" s="16"/>
    </row>
    <row r="5589" spans="4:4">
      <c r="D5589" s="16"/>
    </row>
    <row r="5590" spans="4:4">
      <c r="D5590" s="16"/>
    </row>
    <row r="5591" spans="4:4">
      <c r="D5591" s="16"/>
    </row>
    <row r="5592" spans="4:4">
      <c r="D5592" s="16"/>
    </row>
    <row r="5593" spans="4:4">
      <c r="D5593" s="16"/>
    </row>
    <row r="5594" spans="4:4">
      <c r="D5594" s="16"/>
    </row>
    <row r="5595" spans="4:4">
      <c r="D5595" s="16"/>
    </row>
    <row r="5596" spans="4:4">
      <c r="D5596" s="16"/>
    </row>
    <row r="5597" spans="4:4">
      <c r="D5597" s="16"/>
    </row>
    <row r="5598" spans="4:4">
      <c r="D5598" s="16"/>
    </row>
    <row r="5599" spans="4:4">
      <c r="D5599" s="16"/>
    </row>
    <row r="5600" spans="4:4">
      <c r="D5600" s="16"/>
    </row>
    <row r="5601" spans="4:4">
      <c r="D5601" s="16"/>
    </row>
    <row r="5602" spans="4:4">
      <c r="D5602" s="16"/>
    </row>
    <row r="5603" spans="4:4">
      <c r="D5603" s="16"/>
    </row>
    <row r="5604" spans="4:4">
      <c r="D5604" s="16"/>
    </row>
    <row r="5605" spans="4:4">
      <c r="D5605" s="16"/>
    </row>
    <row r="5606" spans="4:4">
      <c r="D5606" s="16"/>
    </row>
    <row r="5607" spans="4:4">
      <c r="D5607" s="16"/>
    </row>
    <row r="5608" spans="4:4">
      <c r="D5608" s="16"/>
    </row>
    <row r="5609" spans="4:4">
      <c r="D5609" s="16"/>
    </row>
    <row r="5610" spans="4:4">
      <c r="D5610" s="16"/>
    </row>
    <row r="5611" spans="4:4">
      <c r="D5611" s="16"/>
    </row>
    <row r="5612" spans="4:4">
      <c r="D5612" s="16"/>
    </row>
    <row r="5613" spans="4:4">
      <c r="D5613" s="16"/>
    </row>
    <row r="5614" spans="4:4">
      <c r="D5614" s="16"/>
    </row>
    <row r="5615" spans="4:4">
      <c r="D5615" s="16"/>
    </row>
    <row r="5616" spans="4:4">
      <c r="D5616" s="16"/>
    </row>
    <row r="5617" spans="4:4">
      <c r="D5617" s="16"/>
    </row>
    <row r="5618" spans="4:4">
      <c r="D5618" s="16"/>
    </row>
    <row r="5619" spans="4:4">
      <c r="D5619" s="16"/>
    </row>
    <row r="5620" spans="4:4">
      <c r="D5620" s="16"/>
    </row>
    <row r="5621" spans="4:4">
      <c r="D5621" s="16"/>
    </row>
    <row r="5622" spans="4:4">
      <c r="D5622" s="16"/>
    </row>
    <row r="5623" spans="4:4">
      <c r="D5623" s="16"/>
    </row>
    <row r="5624" spans="4:4">
      <c r="D5624" s="16"/>
    </row>
    <row r="5625" spans="4:4">
      <c r="D5625" s="16"/>
    </row>
    <row r="5626" spans="4:4">
      <c r="D5626" s="16"/>
    </row>
    <row r="5627" spans="4:4">
      <c r="D5627" s="16"/>
    </row>
    <row r="5628" spans="4:4">
      <c r="D5628" s="16"/>
    </row>
    <row r="5629" spans="4:4">
      <c r="D5629" s="16"/>
    </row>
    <row r="5630" spans="4:4">
      <c r="D5630" s="16"/>
    </row>
    <row r="5631" spans="4:4">
      <c r="D5631" s="16"/>
    </row>
    <row r="5632" spans="4:4">
      <c r="D5632" s="16"/>
    </row>
    <row r="5633" spans="4:4">
      <c r="D5633" s="16"/>
    </row>
    <row r="5634" spans="4:4">
      <c r="D5634" s="16"/>
    </row>
    <row r="5635" spans="4:4">
      <c r="D5635" s="16"/>
    </row>
    <row r="5636" spans="4:4">
      <c r="D5636" s="16"/>
    </row>
    <row r="5637" spans="4:4">
      <c r="D5637" s="16"/>
    </row>
    <row r="5638" spans="4:4">
      <c r="D5638" s="16"/>
    </row>
    <row r="5639" spans="4:4">
      <c r="D5639" s="16"/>
    </row>
    <row r="5640" spans="4:4">
      <c r="D5640" s="16"/>
    </row>
    <row r="5641" spans="4:4">
      <c r="D5641" s="16"/>
    </row>
    <row r="5642" spans="4:4">
      <c r="D5642" s="16"/>
    </row>
    <row r="5643" spans="4:4">
      <c r="D5643" s="16"/>
    </row>
    <row r="5644" spans="4:4">
      <c r="D5644" s="16"/>
    </row>
    <row r="5645" spans="4:4">
      <c r="D5645" s="16"/>
    </row>
    <row r="5646" spans="4:4">
      <c r="D5646" s="16"/>
    </row>
    <row r="5647" spans="4:4">
      <c r="D5647" s="16"/>
    </row>
    <row r="5648" spans="4:4">
      <c r="D5648" s="16"/>
    </row>
    <row r="5649" spans="4:4">
      <c r="D5649" s="16"/>
    </row>
    <row r="5650" spans="4:4">
      <c r="D5650" s="16"/>
    </row>
    <row r="5651" spans="4:4">
      <c r="D5651" s="16"/>
    </row>
    <row r="5652" spans="4:4">
      <c r="D5652" s="16"/>
    </row>
    <row r="5653" spans="4:4">
      <c r="D5653" s="16"/>
    </row>
    <row r="5654" spans="4:4">
      <c r="D5654" s="16"/>
    </row>
    <row r="5655" spans="4:4">
      <c r="D5655" s="16"/>
    </row>
    <row r="5656" spans="4:4">
      <c r="D5656" s="16"/>
    </row>
    <row r="5657" spans="4:4">
      <c r="D5657" s="16"/>
    </row>
    <row r="5658" spans="4:4">
      <c r="D5658" s="16"/>
    </row>
    <row r="5659" spans="4:4">
      <c r="D5659" s="16"/>
    </row>
    <row r="5660" spans="4:4">
      <c r="D5660" s="16"/>
    </row>
    <row r="5661" spans="4:4">
      <c r="D5661" s="16"/>
    </row>
    <row r="5662" spans="4:4">
      <c r="D5662" s="16"/>
    </row>
    <row r="5663" spans="4:4">
      <c r="D5663" s="16"/>
    </row>
    <row r="5664" spans="4:4">
      <c r="D5664" s="16"/>
    </row>
    <row r="5665" spans="4:4">
      <c r="D5665" s="16"/>
    </row>
    <row r="5666" spans="4:4">
      <c r="D5666" s="16"/>
    </row>
    <row r="5667" spans="4:4">
      <c r="D5667" s="16"/>
    </row>
    <row r="5668" spans="4:4">
      <c r="D5668" s="16"/>
    </row>
    <row r="5669" spans="4:4">
      <c r="D5669" s="16"/>
    </row>
    <row r="5670" spans="4:4">
      <c r="D5670" s="16"/>
    </row>
    <row r="5671" spans="4:4">
      <c r="D5671" s="16"/>
    </row>
    <row r="5672" spans="4:4">
      <c r="D5672" s="16"/>
    </row>
    <row r="5673" spans="4:4">
      <c r="D5673" s="16"/>
    </row>
    <row r="5674" spans="4:4">
      <c r="D5674" s="16"/>
    </row>
    <row r="5675" spans="4:4">
      <c r="D5675" s="16"/>
    </row>
    <row r="5676" spans="4:4">
      <c r="D5676" s="16"/>
    </row>
    <row r="5677" spans="4:4">
      <c r="D5677" s="16"/>
    </row>
    <row r="5678" spans="4:4">
      <c r="D5678" s="16"/>
    </row>
    <row r="5679" spans="4:4">
      <c r="D5679" s="16"/>
    </row>
    <row r="5680" spans="4:4">
      <c r="D5680" s="16"/>
    </row>
    <row r="5681" spans="4:4">
      <c r="D5681" s="16"/>
    </row>
    <row r="5682" spans="4:4">
      <c r="D5682" s="16"/>
    </row>
    <row r="5683" spans="4:4">
      <c r="D5683" s="16"/>
    </row>
    <row r="5684" spans="4:4">
      <c r="D5684" s="16"/>
    </row>
    <row r="5685" spans="4:4">
      <c r="D5685" s="16"/>
    </row>
    <row r="5686" spans="4:4">
      <c r="D5686" s="16"/>
    </row>
    <row r="5687" spans="4:4">
      <c r="D5687" s="16"/>
    </row>
    <row r="5688" spans="4:4">
      <c r="D5688" s="16"/>
    </row>
    <row r="5689" spans="4:4">
      <c r="D5689" s="16"/>
    </row>
    <row r="5690" spans="4:4">
      <c r="D5690" s="16"/>
    </row>
    <row r="5691" spans="4:4">
      <c r="D5691" s="16"/>
    </row>
    <row r="5692" spans="4:4">
      <c r="D5692" s="16"/>
    </row>
    <row r="5693" spans="4:4">
      <c r="D5693" s="16"/>
    </row>
    <row r="5694" spans="4:4">
      <c r="D5694" s="16"/>
    </row>
    <row r="5695" spans="4:4">
      <c r="D5695" s="16"/>
    </row>
    <row r="5696" spans="4:4">
      <c r="D5696" s="16"/>
    </row>
    <row r="5697" spans="4:4">
      <c r="D5697" s="16"/>
    </row>
    <row r="5698" spans="4:4">
      <c r="D5698" s="16"/>
    </row>
    <row r="5699" spans="4:4">
      <c r="D5699" s="16"/>
    </row>
    <row r="5700" spans="4:4">
      <c r="D5700" s="16"/>
    </row>
    <row r="5701" spans="4:4">
      <c r="D5701" s="16"/>
    </row>
    <row r="5702" spans="4:4">
      <c r="D5702" s="16"/>
    </row>
    <row r="5703" spans="4:4">
      <c r="D5703" s="16"/>
    </row>
    <row r="5704" spans="4:4">
      <c r="D5704" s="16"/>
    </row>
    <row r="5705" spans="4:4">
      <c r="D5705" s="16"/>
    </row>
    <row r="5706" spans="4:4">
      <c r="D5706" s="16"/>
    </row>
    <row r="5707" spans="4:4">
      <c r="D5707" s="16"/>
    </row>
    <row r="5708" spans="4:4">
      <c r="D5708" s="16"/>
    </row>
    <row r="5709" spans="4:4">
      <c r="D5709" s="16"/>
    </row>
    <row r="5710" spans="4:4">
      <c r="D5710" s="16"/>
    </row>
    <row r="5711" spans="4:4">
      <c r="D5711" s="16"/>
    </row>
    <row r="5712" spans="4:4">
      <c r="D5712" s="16"/>
    </row>
    <row r="5713" spans="4:4">
      <c r="D5713" s="16"/>
    </row>
    <row r="5714" spans="4:4">
      <c r="D5714" s="16"/>
    </row>
    <row r="5715" spans="4:4">
      <c r="D5715" s="16"/>
    </row>
    <row r="5716" spans="4:4">
      <c r="D5716" s="16"/>
    </row>
    <row r="5717" spans="4:4">
      <c r="D5717" s="16"/>
    </row>
    <row r="5718" spans="4:4">
      <c r="D5718" s="16"/>
    </row>
    <row r="5719" spans="4:4">
      <c r="D5719" s="16"/>
    </row>
    <row r="5720" spans="4:4">
      <c r="D5720" s="16"/>
    </row>
    <row r="5721" spans="4:4">
      <c r="D5721" s="16"/>
    </row>
    <row r="5722" spans="4:4">
      <c r="D5722" s="16"/>
    </row>
    <row r="5723" spans="4:4">
      <c r="D5723" s="16"/>
    </row>
    <row r="5724" spans="4:4">
      <c r="D5724" s="16"/>
    </row>
    <row r="5725" spans="4:4">
      <c r="D5725" s="16"/>
    </row>
    <row r="5726" spans="4:4">
      <c r="D5726" s="16"/>
    </row>
    <row r="5727" spans="4:4">
      <c r="D5727" s="16"/>
    </row>
    <row r="5728" spans="4:4">
      <c r="D5728" s="16"/>
    </row>
    <row r="5729" spans="4:4">
      <c r="D5729" s="16"/>
    </row>
    <row r="5730" spans="4:4">
      <c r="D5730" s="16"/>
    </row>
    <row r="5731" spans="4:4">
      <c r="D5731" s="16"/>
    </row>
    <row r="5732" spans="4:4">
      <c r="D5732" s="16"/>
    </row>
    <row r="5733" spans="4:4">
      <c r="D5733" s="16"/>
    </row>
    <row r="5734" spans="4:4">
      <c r="D5734" s="16"/>
    </row>
    <row r="5735" spans="4:4">
      <c r="D5735" s="16"/>
    </row>
    <row r="5736" spans="4:4">
      <c r="D5736" s="16"/>
    </row>
    <row r="5737" spans="4:4">
      <c r="D5737" s="16"/>
    </row>
    <row r="5738" spans="4:4">
      <c r="D5738" s="16"/>
    </row>
    <row r="5739" spans="4:4">
      <c r="D5739" s="16"/>
    </row>
    <row r="5740" spans="4:4">
      <c r="D5740" s="16"/>
    </row>
    <row r="5741" spans="4:4">
      <c r="D5741" s="16"/>
    </row>
    <row r="5742" spans="4:4">
      <c r="D5742" s="16"/>
    </row>
    <row r="5743" spans="4:4">
      <c r="D5743" s="16"/>
    </row>
    <row r="5744" spans="4:4">
      <c r="D5744" s="16"/>
    </row>
    <row r="5745" spans="4:4">
      <c r="D5745" s="16"/>
    </row>
    <row r="5746" spans="4:4">
      <c r="D5746" s="16"/>
    </row>
    <row r="5747" spans="4:4">
      <c r="D5747" s="16"/>
    </row>
    <row r="5748" spans="4:4">
      <c r="D5748" s="16"/>
    </row>
    <row r="5749" spans="4:4">
      <c r="D5749" s="16"/>
    </row>
    <row r="5750" spans="4:4">
      <c r="D5750" s="16"/>
    </row>
    <row r="5751" spans="4:4">
      <c r="D5751" s="16"/>
    </row>
    <row r="5752" spans="4:4">
      <c r="D5752" s="16"/>
    </row>
    <row r="5753" spans="4:4">
      <c r="D5753" s="16"/>
    </row>
    <row r="5754" spans="4:4">
      <c r="D5754" s="16"/>
    </row>
    <row r="5755" spans="4:4">
      <c r="D5755" s="16"/>
    </row>
    <row r="5756" spans="4:4">
      <c r="D5756" s="16"/>
    </row>
    <row r="5757" spans="4:4">
      <c r="D5757" s="16"/>
    </row>
    <row r="5758" spans="4:4">
      <c r="D5758" s="16"/>
    </row>
    <row r="5759" spans="4:4">
      <c r="D5759" s="16"/>
    </row>
    <row r="5760" spans="4:4">
      <c r="D5760" s="16"/>
    </row>
    <row r="5761" spans="4:4">
      <c r="D5761" s="16"/>
    </row>
    <row r="5762" spans="4:4">
      <c r="D5762" s="16"/>
    </row>
    <row r="5763" spans="4:4">
      <c r="D5763" s="16"/>
    </row>
    <row r="5764" spans="4:4">
      <c r="D5764" s="16"/>
    </row>
    <row r="5765" spans="4:4">
      <c r="D5765" s="16"/>
    </row>
    <row r="5766" spans="4:4">
      <c r="D5766" s="16"/>
    </row>
    <row r="5767" spans="4:4">
      <c r="D5767" s="16"/>
    </row>
    <row r="5768" spans="4:4">
      <c r="D5768" s="16"/>
    </row>
    <row r="5769" spans="4:4">
      <c r="D5769" s="16"/>
    </row>
    <row r="5770" spans="4:4">
      <c r="D5770" s="16"/>
    </row>
    <row r="5771" spans="4:4">
      <c r="D5771" s="16"/>
    </row>
    <row r="5772" spans="4:4">
      <c r="D5772" s="16"/>
    </row>
    <row r="5773" spans="4:4">
      <c r="D5773" s="16"/>
    </row>
    <row r="5774" spans="4:4">
      <c r="D5774" s="16"/>
    </row>
    <row r="5775" spans="4:4">
      <c r="D5775" s="16"/>
    </row>
    <row r="5776" spans="4:4">
      <c r="D5776" s="16"/>
    </row>
    <row r="5777" spans="4:4">
      <c r="D5777" s="16"/>
    </row>
    <row r="5778" spans="4:4">
      <c r="D5778" s="16"/>
    </row>
    <row r="5779" spans="4:4">
      <c r="D5779" s="16"/>
    </row>
    <row r="5780" spans="4:4">
      <c r="D5780" s="16"/>
    </row>
    <row r="5781" spans="4:4">
      <c r="D5781" s="16"/>
    </row>
    <row r="5782" spans="4:4">
      <c r="D5782" s="16"/>
    </row>
    <row r="5783" spans="4:4">
      <c r="D5783" s="16"/>
    </row>
    <row r="5784" spans="4:4">
      <c r="D5784" s="16"/>
    </row>
    <row r="5785" spans="4:4">
      <c r="D5785" s="16"/>
    </row>
    <row r="5786" spans="4:4">
      <c r="D5786" s="16"/>
    </row>
    <row r="5787" spans="4:4">
      <c r="D5787" s="16"/>
    </row>
    <row r="5788" spans="4:4">
      <c r="D5788" s="16"/>
    </row>
    <row r="5789" spans="4:4">
      <c r="D5789" s="16"/>
    </row>
    <row r="5790" spans="4:4">
      <c r="D5790" s="16"/>
    </row>
    <row r="5791" spans="4:4">
      <c r="D5791" s="16"/>
    </row>
    <row r="5792" spans="4:4">
      <c r="D5792" s="16"/>
    </row>
    <row r="5793" spans="4:4">
      <c r="D5793" s="16"/>
    </row>
    <row r="5794" spans="4:4">
      <c r="D5794" s="16"/>
    </row>
    <row r="5795" spans="4:4">
      <c r="D5795" s="16"/>
    </row>
    <row r="5796" spans="4:4">
      <c r="D5796" s="16"/>
    </row>
    <row r="5797" spans="4:4">
      <c r="D5797" s="16"/>
    </row>
    <row r="5798" spans="4:4">
      <c r="D5798" s="16"/>
    </row>
    <row r="5799" spans="4:4">
      <c r="D5799" s="16"/>
    </row>
    <row r="5800" spans="4:4">
      <c r="D5800" s="16"/>
    </row>
    <row r="5801" spans="4:4">
      <c r="D5801" s="16"/>
    </row>
    <row r="5802" spans="4:4">
      <c r="D5802" s="16"/>
    </row>
    <row r="5803" spans="4:4">
      <c r="D5803" s="16"/>
    </row>
    <row r="5804" spans="4:4">
      <c r="D5804" s="16"/>
    </row>
    <row r="5805" spans="4:4">
      <c r="D5805" s="16"/>
    </row>
    <row r="5806" spans="4:4">
      <c r="D5806" s="16"/>
    </row>
    <row r="5807" spans="4:4">
      <c r="D5807" s="16"/>
    </row>
    <row r="5808" spans="4:4">
      <c r="D5808" s="16"/>
    </row>
    <row r="5809" spans="4:4">
      <c r="D5809" s="16"/>
    </row>
    <row r="5810" spans="4:4">
      <c r="D5810" s="16"/>
    </row>
    <row r="5811" spans="4:4">
      <c r="D5811" s="16"/>
    </row>
    <row r="5812" spans="4:4">
      <c r="D5812" s="16"/>
    </row>
    <row r="5813" spans="4:4">
      <c r="D5813" s="16"/>
    </row>
    <row r="5814" spans="4:4">
      <c r="D5814" s="16"/>
    </row>
    <row r="5815" spans="4:4">
      <c r="D5815" s="16"/>
    </row>
    <row r="5816" spans="4:4">
      <c r="D5816" s="16"/>
    </row>
    <row r="5817" spans="4:4">
      <c r="D5817" s="16"/>
    </row>
    <row r="5818" spans="4:4">
      <c r="D5818" s="16"/>
    </row>
    <row r="5819" spans="4:4">
      <c r="D5819" s="16"/>
    </row>
    <row r="5820" spans="4:4">
      <c r="D5820" s="16"/>
    </row>
    <row r="5821" spans="4:4">
      <c r="D5821" s="16"/>
    </row>
    <row r="5822" spans="4:4">
      <c r="D5822" s="16"/>
    </row>
    <row r="5823" spans="4:4">
      <c r="D5823" s="16"/>
    </row>
    <row r="5824" spans="4:4">
      <c r="D5824" s="16"/>
    </row>
    <row r="5825" spans="4:4">
      <c r="D5825" s="16"/>
    </row>
    <row r="5826" spans="4:4">
      <c r="D5826" s="16"/>
    </row>
    <row r="5827" spans="4:4">
      <c r="D5827" s="16"/>
    </row>
    <row r="5828" spans="4:4">
      <c r="D5828" s="16"/>
    </row>
    <row r="5829" spans="4:4">
      <c r="D5829" s="16"/>
    </row>
    <row r="5830" spans="4:4">
      <c r="D5830" s="16"/>
    </row>
    <row r="5831" spans="4:4">
      <c r="D5831" s="16"/>
    </row>
    <row r="5832" spans="4:4">
      <c r="D5832" s="16"/>
    </row>
    <row r="5833" spans="4:4">
      <c r="D5833" s="16"/>
    </row>
    <row r="5834" spans="4:4">
      <c r="D5834" s="16"/>
    </row>
    <row r="5835" spans="4:4">
      <c r="D5835" s="16"/>
    </row>
    <row r="5836" spans="4:4">
      <c r="D5836" s="16"/>
    </row>
    <row r="5837" spans="4:4">
      <c r="D5837" s="16"/>
    </row>
    <row r="5838" spans="4:4">
      <c r="D5838" s="16"/>
    </row>
    <row r="5839" spans="4:4">
      <c r="D5839" s="16"/>
    </row>
    <row r="5840" spans="4:4">
      <c r="D5840" s="16"/>
    </row>
    <row r="5841" spans="4:4">
      <c r="D5841" s="16"/>
    </row>
    <row r="5842" spans="4:4">
      <c r="D5842" s="16"/>
    </row>
    <row r="5843" spans="4:4">
      <c r="D5843" s="16"/>
    </row>
    <row r="5844" spans="4:4">
      <c r="D5844" s="16"/>
    </row>
    <row r="5845" spans="4:4">
      <c r="D5845" s="16"/>
    </row>
    <row r="5846" spans="4:4">
      <c r="D5846" s="16"/>
    </row>
    <row r="5847" spans="4:4">
      <c r="D5847" s="16"/>
    </row>
    <row r="5848" spans="4:4">
      <c r="D5848" s="16"/>
    </row>
    <row r="5849" spans="4:4">
      <c r="D5849" s="16"/>
    </row>
    <row r="5850" spans="4:4">
      <c r="D5850" s="16"/>
    </row>
    <row r="5851" spans="4:4">
      <c r="D5851" s="16"/>
    </row>
    <row r="5852" spans="4:4">
      <c r="D5852" s="16"/>
    </row>
    <row r="5853" spans="4:4">
      <c r="D5853" s="16"/>
    </row>
    <row r="5854" spans="4:4">
      <c r="D5854" s="16"/>
    </row>
    <row r="5855" spans="4:4">
      <c r="D5855" s="16"/>
    </row>
    <row r="5856" spans="4:4">
      <c r="D5856" s="16"/>
    </row>
    <row r="5857" spans="4:4">
      <c r="D5857" s="16"/>
    </row>
    <row r="5858" spans="4:4">
      <c r="D5858" s="16"/>
    </row>
    <row r="5859" spans="4:4">
      <c r="D5859" s="16"/>
    </row>
    <row r="5860" spans="4:4">
      <c r="D5860" s="16"/>
    </row>
    <row r="5861" spans="4:4">
      <c r="D5861" s="16"/>
    </row>
    <row r="5862" spans="4:4">
      <c r="D5862" s="16"/>
    </row>
    <row r="5863" spans="4:4">
      <c r="D5863" s="16"/>
    </row>
    <row r="5864" spans="4:4">
      <c r="D5864" s="16"/>
    </row>
    <row r="5865" spans="4:4">
      <c r="D5865" s="16"/>
    </row>
    <row r="5866" spans="4:4">
      <c r="D5866" s="16"/>
    </row>
    <row r="5867" spans="4:4">
      <c r="D5867" s="16"/>
    </row>
    <row r="5868" spans="4:4">
      <c r="D5868" s="16"/>
    </row>
    <row r="5869" spans="4:4">
      <c r="D5869" s="16"/>
    </row>
    <row r="5870" spans="4:4">
      <c r="D5870" s="16"/>
    </row>
    <row r="5871" spans="4:4">
      <c r="D5871" s="16"/>
    </row>
    <row r="5872" spans="4:4">
      <c r="D5872" s="16"/>
    </row>
    <row r="5873" spans="4:4">
      <c r="D5873" s="16"/>
    </row>
    <row r="5874" spans="4:4">
      <c r="D5874" s="16"/>
    </row>
    <row r="5875" spans="4:4">
      <c r="D5875" s="16"/>
    </row>
    <row r="5876" spans="4:4">
      <c r="D5876" s="16"/>
    </row>
    <row r="5877" spans="4:4">
      <c r="D5877" s="16"/>
    </row>
    <row r="5878" spans="4:4">
      <c r="D5878" s="16"/>
    </row>
    <row r="5879" spans="4:4">
      <c r="D5879" s="16"/>
    </row>
    <row r="5880" spans="4:4">
      <c r="D5880" s="16"/>
    </row>
    <row r="5881" spans="4:4">
      <c r="D5881" s="16"/>
    </row>
    <row r="5882" spans="4:4">
      <c r="D5882" s="16"/>
    </row>
    <row r="5883" spans="4:4">
      <c r="D5883" s="16"/>
    </row>
    <row r="5884" spans="4:4">
      <c r="D5884" s="16"/>
    </row>
    <row r="5885" spans="4:4">
      <c r="D5885" s="16"/>
    </row>
    <row r="5886" spans="4:4">
      <c r="D5886" s="16"/>
    </row>
    <row r="5887" spans="4:4">
      <c r="D5887" s="16"/>
    </row>
    <row r="5888" spans="4:4">
      <c r="D5888" s="16"/>
    </row>
    <row r="5889" spans="4:4">
      <c r="D5889" s="16"/>
    </row>
    <row r="5890" spans="4:4">
      <c r="D5890" s="16"/>
    </row>
    <row r="5891" spans="4:4">
      <c r="D5891" s="16"/>
    </row>
    <row r="5892" spans="4:4">
      <c r="D5892" s="16"/>
    </row>
    <row r="5893" spans="4:4">
      <c r="D5893" s="16"/>
    </row>
    <row r="5894" spans="4:4">
      <c r="D5894" s="16"/>
    </row>
    <row r="5895" spans="4:4">
      <c r="D5895" s="16"/>
    </row>
    <row r="5896" spans="4:4">
      <c r="D5896" s="16"/>
    </row>
    <row r="5897" spans="4:4">
      <c r="D5897" s="16"/>
    </row>
    <row r="5898" spans="4:4">
      <c r="D5898" s="16"/>
    </row>
    <row r="5899" spans="4:4">
      <c r="D5899" s="16"/>
    </row>
    <row r="5900" spans="4:4">
      <c r="D5900" s="16"/>
    </row>
    <row r="5901" spans="4:4">
      <c r="D5901" s="16"/>
    </row>
    <row r="5902" spans="4:4">
      <c r="D5902" s="16"/>
    </row>
    <row r="5903" spans="4:4">
      <c r="D5903" s="16"/>
    </row>
    <row r="5904" spans="4:4">
      <c r="D5904" s="16"/>
    </row>
    <row r="5905" spans="4:4">
      <c r="D5905" s="16"/>
    </row>
    <row r="5906" spans="4:4">
      <c r="D5906" s="16"/>
    </row>
    <row r="5907" spans="4:4">
      <c r="D5907" s="16"/>
    </row>
    <row r="5908" spans="4:4">
      <c r="D5908" s="16"/>
    </row>
    <row r="5909" spans="4:4">
      <c r="D5909" s="16"/>
    </row>
    <row r="5910" spans="4:4">
      <c r="D5910" s="16"/>
    </row>
    <row r="5911" spans="4:4">
      <c r="D5911" s="16"/>
    </row>
    <row r="5912" spans="4:4">
      <c r="D5912" s="16"/>
    </row>
    <row r="5913" spans="4:4">
      <c r="D5913" s="16"/>
    </row>
    <row r="5914" spans="4:4">
      <c r="D5914" s="16"/>
    </row>
    <row r="5915" spans="4:4">
      <c r="D5915" s="16"/>
    </row>
    <row r="5916" spans="4:4">
      <c r="D5916" s="16"/>
    </row>
    <row r="5917" spans="4:4">
      <c r="D5917" s="16"/>
    </row>
    <row r="5918" spans="4:4">
      <c r="D5918" s="16"/>
    </row>
    <row r="5919" spans="4:4">
      <c r="D5919" s="16"/>
    </row>
    <row r="5920" spans="4:4">
      <c r="D5920" s="16"/>
    </row>
    <row r="5921" spans="4:4">
      <c r="D5921" s="16"/>
    </row>
    <row r="5922" spans="4:4">
      <c r="D5922" s="16"/>
    </row>
    <row r="5923" spans="4:4">
      <c r="D5923" s="16"/>
    </row>
    <row r="5924" spans="4:4">
      <c r="D5924" s="16"/>
    </row>
    <row r="5925" spans="4:4">
      <c r="D5925" s="16"/>
    </row>
    <row r="5926" spans="4:4">
      <c r="D5926" s="16"/>
    </row>
    <row r="5927" spans="4:4">
      <c r="D5927" s="16"/>
    </row>
    <row r="5928" spans="4:4">
      <c r="D5928" s="16"/>
    </row>
    <row r="5929" spans="4:4">
      <c r="D5929" s="16"/>
    </row>
    <row r="5930" spans="4:4">
      <c r="D5930" s="16"/>
    </row>
    <row r="5931" spans="4:4">
      <c r="D5931" s="16"/>
    </row>
    <row r="5932" spans="4:4">
      <c r="D5932" s="16"/>
    </row>
    <row r="5933" spans="4:4">
      <c r="D5933" s="16"/>
    </row>
    <row r="5934" spans="4:4">
      <c r="D5934" s="16"/>
    </row>
    <row r="5935" spans="4:4">
      <c r="D5935" s="16"/>
    </row>
    <row r="5936" spans="4:4">
      <c r="D5936" s="16"/>
    </row>
    <row r="5937" spans="4:4">
      <c r="D5937" s="16"/>
    </row>
    <row r="5938" spans="4:4">
      <c r="D5938" s="16"/>
    </row>
    <row r="5939" spans="4:4">
      <c r="D5939" s="16"/>
    </row>
    <row r="5940" spans="4:4">
      <c r="D5940" s="16"/>
    </row>
    <row r="5941" spans="4:4">
      <c r="D5941" s="16"/>
    </row>
    <row r="5942" spans="4:4">
      <c r="D5942" s="16"/>
    </row>
    <row r="5943" spans="4:4">
      <c r="D5943" s="16"/>
    </row>
    <row r="5944" spans="4:4">
      <c r="D5944" s="16"/>
    </row>
    <row r="5945" spans="4:4">
      <c r="D5945" s="16"/>
    </row>
    <row r="5946" spans="4:4">
      <c r="D5946" s="16"/>
    </row>
    <row r="5947" spans="4:4">
      <c r="D5947" s="16"/>
    </row>
    <row r="5948" spans="4:4">
      <c r="D5948" s="16"/>
    </row>
    <row r="5949" spans="4:4">
      <c r="D5949" s="16"/>
    </row>
    <row r="5950" spans="4:4">
      <c r="D5950" s="16"/>
    </row>
    <row r="5951" spans="4:4">
      <c r="D5951" s="16"/>
    </row>
    <row r="5952" spans="4:4">
      <c r="D5952" s="16"/>
    </row>
    <row r="5953" spans="4:4">
      <c r="D5953" s="16"/>
    </row>
    <row r="5954" spans="4:4">
      <c r="D5954" s="16"/>
    </row>
    <row r="5955" spans="4:4">
      <c r="D5955" s="16"/>
    </row>
    <row r="5956" spans="4:4">
      <c r="D5956" s="16"/>
    </row>
    <row r="5957" spans="4:4">
      <c r="D5957" s="16"/>
    </row>
    <row r="5958" spans="4:4">
      <c r="D5958" s="16"/>
    </row>
    <row r="5959" spans="4:4">
      <c r="D5959" s="16"/>
    </row>
    <row r="5960" spans="4:4">
      <c r="D5960" s="16"/>
    </row>
    <row r="5961" spans="4:4">
      <c r="D5961" s="16"/>
    </row>
    <row r="5962" spans="4:4">
      <c r="D5962" s="16"/>
    </row>
    <row r="5963" spans="4:4">
      <c r="D5963" s="16"/>
    </row>
    <row r="5964" spans="4:4">
      <c r="D5964" s="16"/>
    </row>
    <row r="5965" spans="4:4">
      <c r="D5965" s="16"/>
    </row>
    <row r="5966" spans="4:4">
      <c r="D5966" s="16"/>
    </row>
    <row r="5967" spans="4:4">
      <c r="D5967" s="16"/>
    </row>
    <row r="5968" spans="4:4">
      <c r="D5968" s="16"/>
    </row>
    <row r="5969" spans="4:4">
      <c r="D5969" s="16"/>
    </row>
    <row r="5970" spans="4:4">
      <c r="D5970" s="16"/>
    </row>
    <row r="5971" spans="4:4">
      <c r="D5971" s="16"/>
    </row>
    <row r="5972" spans="4:4">
      <c r="D5972" s="16"/>
    </row>
    <row r="5973" spans="4:4">
      <c r="D5973" s="16"/>
    </row>
    <row r="5974" spans="4:4">
      <c r="D5974" s="16"/>
    </row>
    <row r="5975" spans="4:4">
      <c r="D5975" s="16"/>
    </row>
    <row r="5976" spans="4:4">
      <c r="D5976" s="16"/>
    </row>
    <row r="5977" spans="4:4">
      <c r="D5977" s="16"/>
    </row>
    <row r="5978" spans="4:4">
      <c r="D5978" s="16"/>
    </row>
    <row r="5979" spans="4:4">
      <c r="D5979" s="16"/>
    </row>
    <row r="5980" spans="4:4">
      <c r="D5980" s="16"/>
    </row>
    <row r="5981" spans="4:4">
      <c r="D5981" s="16"/>
    </row>
    <row r="5982" spans="4:4">
      <c r="D5982" s="16"/>
    </row>
    <row r="5983" spans="4:4">
      <c r="D5983" s="16"/>
    </row>
    <row r="5984" spans="4:4">
      <c r="D5984" s="16"/>
    </row>
    <row r="5985" spans="4:4">
      <c r="D5985" s="16"/>
    </row>
    <row r="5986" spans="4:4">
      <c r="D5986" s="16"/>
    </row>
    <row r="5987" spans="4:4">
      <c r="D5987" s="16"/>
    </row>
    <row r="5988" spans="4:4">
      <c r="D5988" s="16"/>
    </row>
    <row r="5989" spans="4:4">
      <c r="D5989" s="16"/>
    </row>
    <row r="5990" spans="4:4">
      <c r="D5990" s="16"/>
    </row>
    <row r="5991" spans="4:4">
      <c r="D5991" s="16"/>
    </row>
    <row r="5992" spans="4:4">
      <c r="D5992" s="16"/>
    </row>
    <row r="5993" spans="4:4">
      <c r="D5993" s="16"/>
    </row>
    <row r="5994" spans="4:4">
      <c r="D5994" s="16"/>
    </row>
    <row r="5995" spans="4:4">
      <c r="D5995" s="16"/>
    </row>
    <row r="5996" spans="4:4">
      <c r="D5996" s="16"/>
    </row>
    <row r="5997" spans="4:4">
      <c r="D5997" s="16"/>
    </row>
    <row r="5998" spans="4:4">
      <c r="D5998" s="16"/>
    </row>
    <row r="5999" spans="4:4">
      <c r="D5999" s="16"/>
    </row>
    <row r="6000" spans="4:4">
      <c r="D6000" s="16"/>
    </row>
    <row r="6001" spans="4:4">
      <c r="D6001" s="16"/>
    </row>
    <row r="6002" spans="4:4">
      <c r="D6002" s="16"/>
    </row>
    <row r="6003" spans="4:4">
      <c r="D6003" s="16"/>
    </row>
    <row r="6004" spans="4:4">
      <c r="D6004" s="16"/>
    </row>
    <row r="6005" spans="4:4">
      <c r="D6005" s="16"/>
    </row>
    <row r="6006" spans="4:4">
      <c r="D6006" s="16"/>
    </row>
    <row r="6007" spans="4:4">
      <c r="D6007" s="16"/>
    </row>
    <row r="6008" spans="4:4">
      <c r="D6008" s="16"/>
    </row>
    <row r="6009" spans="4:4">
      <c r="D6009" s="16"/>
    </row>
    <row r="6010" spans="4:4">
      <c r="D6010" s="16"/>
    </row>
    <row r="6011" spans="4:4">
      <c r="D6011" s="16"/>
    </row>
    <row r="6012" spans="4:4">
      <c r="D6012" s="16"/>
    </row>
    <row r="6013" spans="4:4">
      <c r="D6013" s="16"/>
    </row>
    <row r="6014" spans="4:4">
      <c r="D6014" s="16"/>
    </row>
    <row r="6015" spans="4:4">
      <c r="D6015" s="16"/>
    </row>
    <row r="6016" spans="4:4">
      <c r="D6016" s="16"/>
    </row>
    <row r="6017" spans="4:4">
      <c r="D6017" s="16"/>
    </row>
    <row r="6018" spans="4:4">
      <c r="D6018" s="16"/>
    </row>
    <row r="6019" spans="4:4">
      <c r="D6019" s="16"/>
    </row>
    <row r="6020" spans="4:4">
      <c r="D6020" s="16"/>
    </row>
    <row r="6021" spans="4:4">
      <c r="D6021" s="16"/>
    </row>
    <row r="6022" spans="4:4">
      <c r="D6022" s="16"/>
    </row>
    <row r="6023" spans="4:4">
      <c r="D6023" s="16"/>
    </row>
    <row r="6024" spans="4:4">
      <c r="D6024" s="16"/>
    </row>
    <row r="6025" spans="4:4">
      <c r="D6025" s="16"/>
    </row>
    <row r="6026" spans="4:4">
      <c r="D6026" s="16"/>
    </row>
    <row r="6027" spans="4:4">
      <c r="D6027" s="16"/>
    </row>
    <row r="6028" spans="4:4">
      <c r="D6028" s="16"/>
    </row>
    <row r="6029" spans="4:4">
      <c r="D6029" s="16"/>
    </row>
    <row r="6030" spans="4:4">
      <c r="D6030" s="16"/>
    </row>
    <row r="6031" spans="4:4">
      <c r="D6031" s="16"/>
    </row>
    <row r="6032" spans="4:4">
      <c r="D6032" s="16"/>
    </row>
    <row r="6033" spans="4:4">
      <c r="D6033" s="16"/>
    </row>
    <row r="6034" spans="4:4">
      <c r="D6034" s="16"/>
    </row>
    <row r="6035" spans="4:4">
      <c r="D6035" s="16"/>
    </row>
    <row r="6036" spans="4:4">
      <c r="D6036" s="16"/>
    </row>
    <row r="6037" spans="4:4">
      <c r="D6037" s="16"/>
    </row>
    <row r="6038" spans="4:4">
      <c r="D6038" s="16"/>
    </row>
    <row r="6039" spans="4:4">
      <c r="D6039" s="16"/>
    </row>
    <row r="6040" spans="4:4">
      <c r="D6040" s="16"/>
    </row>
    <row r="6041" spans="4:4">
      <c r="D6041" s="16"/>
    </row>
    <row r="6042" spans="4:4">
      <c r="D6042" s="16"/>
    </row>
    <row r="6043" spans="4:4">
      <c r="D6043" s="16"/>
    </row>
    <row r="6044" spans="4:4">
      <c r="D6044" s="16"/>
    </row>
    <row r="6045" spans="4:4">
      <c r="D6045" s="16"/>
    </row>
    <row r="6046" spans="4:4">
      <c r="D6046" s="16"/>
    </row>
    <row r="6047" spans="4:4">
      <c r="D6047" s="16"/>
    </row>
    <row r="6048" spans="4:4">
      <c r="D6048" s="16"/>
    </row>
    <row r="6049" spans="4:4">
      <c r="D6049" s="16"/>
    </row>
    <row r="6050" spans="4:4">
      <c r="D6050" s="16"/>
    </row>
    <row r="6051" spans="4:4">
      <c r="D6051" s="16"/>
    </row>
    <row r="6052" spans="4:4">
      <c r="D6052" s="16"/>
    </row>
    <row r="6053" spans="4:4">
      <c r="D6053" s="16"/>
    </row>
    <row r="6054" spans="4:4">
      <c r="D6054" s="16"/>
    </row>
    <row r="6055" spans="4:4">
      <c r="D6055" s="16"/>
    </row>
    <row r="6056" spans="4:4">
      <c r="D6056" s="16"/>
    </row>
    <row r="6057" spans="4:4">
      <c r="D6057" s="16"/>
    </row>
    <row r="6058" spans="4:4">
      <c r="D6058" s="16"/>
    </row>
    <row r="6059" spans="4:4">
      <c r="D6059" s="16"/>
    </row>
    <row r="6060" spans="4:4">
      <c r="D6060" s="16"/>
    </row>
    <row r="6061" spans="4:4">
      <c r="D6061" s="16"/>
    </row>
    <row r="6062" spans="4:4">
      <c r="D6062" s="16"/>
    </row>
    <row r="6063" spans="4:4">
      <c r="D6063" s="16"/>
    </row>
    <row r="6064" spans="4:4">
      <c r="D6064" s="16"/>
    </row>
    <row r="6065" spans="4:4">
      <c r="D6065" s="16"/>
    </row>
    <row r="6066" spans="4:4">
      <c r="D6066" s="16"/>
    </row>
    <row r="6067" spans="4:4">
      <c r="D6067" s="16"/>
    </row>
    <row r="6068" spans="4:4">
      <c r="D6068" s="16"/>
    </row>
    <row r="6069" spans="4:4">
      <c r="D6069" s="16"/>
    </row>
    <row r="6070" spans="4:4">
      <c r="D6070" s="16"/>
    </row>
    <row r="6071" spans="4:4">
      <c r="D6071" s="16"/>
    </row>
    <row r="6072" spans="4:4">
      <c r="D6072" s="16"/>
    </row>
    <row r="6073" spans="4:4">
      <c r="D6073" s="16"/>
    </row>
    <row r="6074" spans="4:4">
      <c r="D6074" s="16"/>
    </row>
    <row r="6075" spans="4:4">
      <c r="D6075" s="16"/>
    </row>
    <row r="6076" spans="4:4">
      <c r="D6076" s="16"/>
    </row>
    <row r="6077" spans="4:4">
      <c r="D6077" s="16"/>
    </row>
    <row r="6078" spans="4:4">
      <c r="D6078" s="16"/>
    </row>
    <row r="6079" spans="4:4">
      <c r="D6079" s="16"/>
    </row>
    <row r="6080" spans="4:4">
      <c r="D6080" s="16"/>
    </row>
    <row r="6081" spans="4:4">
      <c r="D6081" s="16"/>
    </row>
    <row r="6082" spans="4:4">
      <c r="D6082" s="16"/>
    </row>
    <row r="6083" spans="4:4">
      <c r="D6083" s="16"/>
    </row>
    <row r="6084" spans="4:4">
      <c r="D6084" s="16"/>
    </row>
    <row r="6085" spans="4:4">
      <c r="D6085" s="16"/>
    </row>
    <row r="6086" spans="4:4">
      <c r="D6086" s="16"/>
    </row>
    <row r="6087" spans="4:4">
      <c r="D6087" s="16"/>
    </row>
    <row r="6088" spans="4:4">
      <c r="D6088" s="16"/>
    </row>
    <row r="6089" spans="4:4">
      <c r="D6089" s="16"/>
    </row>
    <row r="6090" spans="4:4">
      <c r="D6090" s="16"/>
    </row>
    <row r="6091" spans="4:4">
      <c r="D6091" s="16"/>
    </row>
    <row r="6092" spans="4:4">
      <c r="D6092" s="16"/>
    </row>
    <row r="6093" spans="4:4">
      <c r="D6093" s="16"/>
    </row>
    <row r="6094" spans="4:4">
      <c r="D6094" s="16"/>
    </row>
    <row r="6095" spans="4:4">
      <c r="D6095" s="16"/>
    </row>
    <row r="6096" spans="4:4">
      <c r="D6096" s="16"/>
    </row>
    <row r="6097" spans="4:4">
      <c r="D6097" s="16"/>
    </row>
    <row r="6098" spans="4:4">
      <c r="D6098" s="16"/>
    </row>
    <row r="6099" spans="4:4">
      <c r="D6099" s="16"/>
    </row>
    <row r="6100" spans="4:4">
      <c r="D6100" s="16"/>
    </row>
    <row r="6101" spans="4:4">
      <c r="D6101" s="16"/>
    </row>
    <row r="6102" spans="4:4">
      <c r="D6102" s="16"/>
    </row>
    <row r="6103" spans="4:4">
      <c r="D6103" s="16"/>
    </row>
    <row r="6104" spans="4:4">
      <c r="D6104" s="16"/>
    </row>
    <row r="6105" spans="4:4">
      <c r="D6105" s="16"/>
    </row>
    <row r="6106" spans="4:4">
      <c r="D6106" s="16"/>
    </row>
    <row r="6107" spans="4:4">
      <c r="D6107" s="16"/>
    </row>
    <row r="6108" spans="4:4">
      <c r="D6108" s="16"/>
    </row>
    <row r="6109" spans="4:4">
      <c r="D6109" s="16"/>
    </row>
    <row r="6110" spans="4:4">
      <c r="D6110" s="16"/>
    </row>
    <row r="6111" spans="4:4">
      <c r="D6111" s="16"/>
    </row>
    <row r="6112" spans="4:4">
      <c r="D6112" s="16"/>
    </row>
    <row r="6113" spans="4:4">
      <c r="D6113" s="16"/>
    </row>
    <row r="6114" spans="4:4">
      <c r="D6114" s="16"/>
    </row>
    <row r="6115" spans="4:4">
      <c r="D6115" s="16"/>
    </row>
    <row r="6116" spans="4:4">
      <c r="D6116" s="16"/>
    </row>
    <row r="6117" spans="4:4">
      <c r="D6117" s="16"/>
    </row>
    <row r="6118" spans="4:4">
      <c r="D6118" s="16"/>
    </row>
    <row r="6119" spans="4:4">
      <c r="D6119" s="16"/>
    </row>
    <row r="6120" spans="4:4">
      <c r="D6120" s="16"/>
    </row>
    <row r="6121" spans="4:4">
      <c r="D6121" s="16"/>
    </row>
    <row r="6122" spans="4:4">
      <c r="D6122" s="16"/>
    </row>
    <row r="6123" spans="4:4">
      <c r="D6123" s="16"/>
    </row>
    <row r="6124" spans="4:4">
      <c r="D6124" s="16"/>
    </row>
    <row r="6125" spans="4:4">
      <c r="D6125" s="16"/>
    </row>
    <row r="6126" spans="4:4">
      <c r="D6126" s="16"/>
    </row>
    <row r="6127" spans="4:4">
      <c r="D6127" s="16"/>
    </row>
    <row r="6128" spans="4:4">
      <c r="D6128" s="16"/>
    </row>
    <row r="6129" spans="4:4">
      <c r="D6129" s="16"/>
    </row>
    <row r="6130" spans="4:4">
      <c r="D6130" s="16"/>
    </row>
    <row r="6131" spans="4:4">
      <c r="D6131" s="16"/>
    </row>
    <row r="6132" spans="4:4">
      <c r="D6132" s="16"/>
    </row>
    <row r="6133" spans="4:4">
      <c r="D6133" s="16"/>
    </row>
    <row r="6134" spans="4:4">
      <c r="D6134" s="16"/>
    </row>
    <row r="6135" spans="4:4">
      <c r="D6135" s="16"/>
    </row>
    <row r="6136" spans="4:4">
      <c r="D6136" s="16"/>
    </row>
    <row r="6137" spans="4:4">
      <c r="D6137" s="16"/>
    </row>
    <row r="6138" spans="4:4">
      <c r="D6138" s="16"/>
    </row>
    <row r="6139" spans="4:4">
      <c r="D6139" s="16"/>
    </row>
    <row r="6140" spans="4:4">
      <c r="D6140" s="16"/>
    </row>
    <row r="6141" spans="4:4">
      <c r="D6141" s="16"/>
    </row>
    <row r="6142" spans="4:4">
      <c r="D6142" s="16"/>
    </row>
    <row r="6143" spans="4:4">
      <c r="D6143" s="16"/>
    </row>
    <row r="6144" spans="4:4">
      <c r="D6144" s="16"/>
    </row>
    <row r="6145" spans="4:4">
      <c r="D6145" s="16"/>
    </row>
    <row r="6146" spans="4:4">
      <c r="D6146" s="16"/>
    </row>
    <row r="6147" spans="4:4">
      <c r="D6147" s="16"/>
    </row>
    <row r="6148" spans="4:4">
      <c r="D6148" s="16"/>
    </row>
    <row r="6149" spans="4:4">
      <c r="D6149" s="16"/>
    </row>
    <row r="6150" spans="4:4">
      <c r="D6150" s="16"/>
    </row>
    <row r="6151" spans="4:4">
      <c r="D6151" s="16"/>
    </row>
    <row r="6152" spans="4:4">
      <c r="D6152" s="16"/>
    </row>
    <row r="6153" spans="4:4">
      <c r="D6153" s="16"/>
    </row>
    <row r="6154" spans="4:4">
      <c r="D6154" s="16"/>
    </row>
    <row r="6155" spans="4:4">
      <c r="D6155" s="16"/>
    </row>
    <row r="6156" spans="4:4">
      <c r="D6156" s="16"/>
    </row>
    <row r="6157" spans="4:4">
      <c r="D6157" s="16"/>
    </row>
    <row r="6158" spans="4:4">
      <c r="D6158" s="16"/>
    </row>
    <row r="6159" spans="4:4">
      <c r="D6159" s="16"/>
    </row>
    <row r="6160" spans="4:4">
      <c r="D6160" s="16"/>
    </row>
    <row r="6161" spans="4:4">
      <c r="D6161" s="16"/>
    </row>
    <row r="6162" spans="4:4">
      <c r="D6162" s="16"/>
    </row>
    <row r="6163" spans="4:4">
      <c r="D6163" s="16"/>
    </row>
    <row r="6164" spans="4:4">
      <c r="D6164" s="16"/>
    </row>
    <row r="6165" spans="4:4">
      <c r="D6165" s="16"/>
    </row>
    <row r="6166" spans="4:4">
      <c r="D6166" s="16"/>
    </row>
    <row r="6167" spans="4:4">
      <c r="D6167" s="16"/>
    </row>
    <row r="6168" spans="4:4">
      <c r="D6168" s="16"/>
    </row>
    <row r="6169" spans="4:4">
      <c r="D6169" s="16"/>
    </row>
    <row r="6170" spans="4:4">
      <c r="D6170" s="16"/>
    </row>
    <row r="6171" spans="4:4">
      <c r="D6171" s="16"/>
    </row>
    <row r="6172" spans="4:4">
      <c r="D6172" s="16"/>
    </row>
    <row r="6173" spans="4:4">
      <c r="D6173" s="16"/>
    </row>
    <row r="6174" spans="4:4">
      <c r="D6174" s="16"/>
    </row>
    <row r="6175" spans="4:4">
      <c r="D6175" s="16"/>
    </row>
    <row r="6176" spans="4:4">
      <c r="D6176" s="16"/>
    </row>
    <row r="6177" spans="4:4">
      <c r="D6177" s="16"/>
    </row>
    <row r="6178" spans="4:4">
      <c r="D6178" s="16"/>
    </row>
    <row r="6179" spans="4:4">
      <c r="D6179" s="16"/>
    </row>
    <row r="6180" spans="4:4">
      <c r="D6180" s="16"/>
    </row>
    <row r="6181" spans="4:4">
      <c r="D6181" s="16"/>
    </row>
    <row r="6182" spans="4:4">
      <c r="D6182" s="16"/>
    </row>
    <row r="6183" spans="4:4">
      <c r="D6183" s="16"/>
    </row>
    <row r="6184" spans="4:4">
      <c r="D6184" s="16"/>
    </row>
    <row r="6185" spans="4:4">
      <c r="D6185" s="16"/>
    </row>
    <row r="6186" spans="4:4">
      <c r="D6186" s="16"/>
    </row>
    <row r="6187" spans="4:4">
      <c r="D6187" s="16"/>
    </row>
    <row r="6188" spans="4:4">
      <c r="D6188" s="16"/>
    </row>
    <row r="6189" spans="4:4">
      <c r="D6189" s="16"/>
    </row>
    <row r="6190" spans="4:4">
      <c r="D6190" s="16"/>
    </row>
    <row r="6191" spans="4:4">
      <c r="D6191" s="16"/>
    </row>
    <row r="6192" spans="4:4">
      <c r="D6192" s="16"/>
    </row>
    <row r="6193" spans="4:4">
      <c r="D6193" s="16"/>
    </row>
    <row r="6194" spans="4:4">
      <c r="D6194" s="16"/>
    </row>
    <row r="6195" spans="4:4">
      <c r="D6195" s="16"/>
    </row>
    <row r="6196" spans="4:4">
      <c r="D6196" s="16"/>
    </row>
    <row r="6197" spans="4:4">
      <c r="D6197" s="16"/>
    </row>
    <row r="6198" spans="4:4">
      <c r="D6198" s="16"/>
    </row>
    <row r="6199" spans="4:4">
      <c r="D6199" s="16"/>
    </row>
    <row r="6200" spans="4:4">
      <c r="D6200" s="16"/>
    </row>
    <row r="6201" spans="4:4">
      <c r="D6201" s="16"/>
    </row>
    <row r="6202" spans="4:4">
      <c r="D6202" s="16"/>
    </row>
    <row r="6203" spans="4:4">
      <c r="D6203" s="16"/>
    </row>
    <row r="6204" spans="4:4">
      <c r="D6204" s="16"/>
    </row>
    <row r="6205" spans="4:4">
      <c r="D6205" s="16"/>
    </row>
    <row r="6206" spans="4:4">
      <c r="D6206" s="16"/>
    </row>
    <row r="6207" spans="4:4">
      <c r="D6207" s="16"/>
    </row>
    <row r="6208" spans="4:4">
      <c r="D6208" s="16"/>
    </row>
    <row r="6209" spans="4:4">
      <c r="D6209" s="16"/>
    </row>
    <row r="6210" spans="4:4">
      <c r="D6210" s="16"/>
    </row>
    <row r="6211" spans="4:4">
      <c r="D6211" s="16"/>
    </row>
    <row r="6212" spans="4:4">
      <c r="D6212" s="16"/>
    </row>
    <row r="6213" spans="4:4">
      <c r="D6213" s="16"/>
    </row>
    <row r="6214" spans="4:4">
      <c r="D6214" s="16"/>
    </row>
    <row r="6215" spans="4:4">
      <c r="D6215" s="16"/>
    </row>
    <row r="6216" spans="4:4">
      <c r="D6216" s="16"/>
    </row>
    <row r="6217" spans="4:4">
      <c r="D6217" s="16"/>
    </row>
    <row r="6218" spans="4:4">
      <c r="D6218" s="16"/>
    </row>
    <row r="6219" spans="4:4">
      <c r="D6219" s="16"/>
    </row>
    <row r="6220" spans="4:4">
      <c r="D6220" s="16"/>
    </row>
    <row r="6221" spans="4:4">
      <c r="D6221" s="16"/>
    </row>
    <row r="6222" spans="4:4">
      <c r="D6222" s="16"/>
    </row>
    <row r="6223" spans="4:4">
      <c r="D6223" s="16"/>
    </row>
    <row r="6224" spans="4:4">
      <c r="D6224" s="16"/>
    </row>
    <row r="6225" spans="4:4">
      <c r="D6225" s="16"/>
    </row>
    <row r="6226" spans="4:4">
      <c r="D6226" s="16"/>
    </row>
    <row r="6227" spans="4:4">
      <c r="D6227" s="16"/>
    </row>
    <row r="6228" spans="4:4">
      <c r="D6228" s="16"/>
    </row>
    <row r="6229" spans="4:4">
      <c r="D6229" s="16"/>
    </row>
    <row r="6230" spans="4:4">
      <c r="D6230" s="16"/>
    </row>
    <row r="6231" spans="4:4">
      <c r="D6231" s="16"/>
    </row>
    <row r="6232" spans="4:4">
      <c r="D6232" s="16"/>
    </row>
    <row r="6233" spans="4:4">
      <c r="D6233" s="16"/>
    </row>
    <row r="6234" spans="4:4">
      <c r="D6234" s="16"/>
    </row>
    <row r="6235" spans="4:4">
      <c r="D6235" s="16"/>
    </row>
    <row r="6236" spans="4:4">
      <c r="D6236" s="16"/>
    </row>
    <row r="6237" spans="4:4">
      <c r="D6237" s="16"/>
    </row>
    <row r="6238" spans="4:4">
      <c r="D6238" s="16"/>
    </row>
    <row r="6239" spans="4:4">
      <c r="D6239" s="16"/>
    </row>
    <row r="6240" spans="4:4">
      <c r="D6240" s="16"/>
    </row>
    <row r="6241" spans="4:4">
      <c r="D6241" s="16"/>
    </row>
    <row r="6242" spans="4:4">
      <c r="D6242" s="16"/>
    </row>
    <row r="6243" spans="4:4">
      <c r="D6243" s="16"/>
    </row>
    <row r="6244" spans="4:4">
      <c r="D6244" s="16"/>
    </row>
    <row r="6245" spans="4:4">
      <c r="D6245" s="16"/>
    </row>
    <row r="6246" spans="4:4">
      <c r="D6246" s="16"/>
    </row>
    <row r="6247" spans="4:4">
      <c r="D6247" s="16"/>
    </row>
    <row r="6248" spans="4:4">
      <c r="D6248" s="16"/>
    </row>
    <row r="6249" spans="4:4">
      <c r="D6249" s="16"/>
    </row>
    <row r="6250" spans="4:4">
      <c r="D6250" s="16"/>
    </row>
    <row r="6251" spans="4:4">
      <c r="D6251" s="16"/>
    </row>
    <row r="6252" spans="4:4">
      <c r="D6252" s="16"/>
    </row>
    <row r="6253" spans="4:4">
      <c r="D6253" s="16"/>
    </row>
    <row r="6254" spans="4:4">
      <c r="D6254" s="16"/>
    </row>
    <row r="6255" spans="4:4">
      <c r="D6255" s="16"/>
    </row>
    <row r="6256" spans="4:4">
      <c r="D6256" s="16"/>
    </row>
    <row r="6257" spans="4:4">
      <c r="D6257" s="16"/>
    </row>
    <row r="6258" spans="4:4">
      <c r="D6258" s="16"/>
    </row>
    <row r="6259" spans="4:4">
      <c r="D6259" s="16"/>
    </row>
    <row r="6260" spans="4:4">
      <c r="D6260" s="16"/>
    </row>
    <row r="6261" spans="4:4">
      <c r="D6261" s="16"/>
    </row>
    <row r="6262" spans="4:4">
      <c r="D6262" s="16"/>
    </row>
    <row r="6263" spans="4:4">
      <c r="D6263" s="16"/>
    </row>
    <row r="6264" spans="4:4">
      <c r="D6264" s="16"/>
    </row>
    <row r="6265" spans="4:4">
      <c r="D6265" s="16"/>
    </row>
    <row r="6266" spans="4:4">
      <c r="D6266" s="16"/>
    </row>
    <row r="6267" spans="4:4">
      <c r="D6267" s="16"/>
    </row>
    <row r="6268" spans="4:4">
      <c r="D6268" s="16"/>
    </row>
    <row r="6269" spans="4:4">
      <c r="D6269" s="16"/>
    </row>
    <row r="6270" spans="4:4">
      <c r="D6270" s="16"/>
    </row>
    <row r="6271" spans="4:4">
      <c r="D6271" s="16"/>
    </row>
    <row r="6272" spans="4:4">
      <c r="D6272" s="16"/>
    </row>
    <row r="6273" spans="4:4">
      <c r="D6273" s="16"/>
    </row>
    <row r="6274" spans="4:4">
      <c r="D6274" s="16"/>
    </row>
    <row r="6275" spans="4:4">
      <c r="D6275" s="16"/>
    </row>
    <row r="6276" spans="4:4">
      <c r="D6276" s="16"/>
    </row>
    <row r="6277" spans="4:4">
      <c r="D6277" s="16"/>
    </row>
    <row r="6278" spans="4:4">
      <c r="D6278" s="16"/>
    </row>
    <row r="6279" spans="4:4">
      <c r="D6279" s="16"/>
    </row>
    <row r="6280" spans="4:4">
      <c r="D6280" s="16"/>
    </row>
    <row r="6281" spans="4:4">
      <c r="D6281" s="16"/>
    </row>
    <row r="6282" spans="4:4">
      <c r="D6282" s="16"/>
    </row>
    <row r="6283" spans="4:4">
      <c r="D6283" s="16"/>
    </row>
    <row r="6284" spans="4:4">
      <c r="D6284" s="16"/>
    </row>
    <row r="6285" spans="4:4">
      <c r="D6285" s="16"/>
    </row>
    <row r="6286" spans="4:4">
      <c r="D6286" s="16"/>
    </row>
    <row r="6287" spans="4:4">
      <c r="D6287" s="16"/>
    </row>
    <row r="6288" spans="4:4">
      <c r="D6288" s="16"/>
    </row>
    <row r="6289" spans="4:4">
      <c r="D6289" s="16"/>
    </row>
    <row r="6290" spans="4:4">
      <c r="D6290" s="16"/>
    </row>
    <row r="6291" spans="4:4">
      <c r="D6291" s="16"/>
    </row>
    <row r="6292" spans="4:4">
      <c r="D6292" s="16"/>
    </row>
    <row r="6293" spans="4:4">
      <c r="D6293" s="16"/>
    </row>
    <row r="6294" spans="4:4">
      <c r="D6294" s="16"/>
    </row>
    <row r="6295" spans="4:4">
      <c r="D6295" s="16"/>
    </row>
    <row r="6296" spans="4:4">
      <c r="D6296" s="16"/>
    </row>
    <row r="6297" spans="4:4">
      <c r="D6297" s="16"/>
    </row>
    <row r="6298" spans="4:4">
      <c r="D6298" s="16"/>
    </row>
    <row r="6299" spans="4:4">
      <c r="D6299" s="16"/>
    </row>
    <row r="6300" spans="4:4">
      <c r="D6300" s="16"/>
    </row>
    <row r="6301" spans="4:4">
      <c r="D6301" s="16"/>
    </row>
    <row r="6302" spans="4:4">
      <c r="D6302" s="16"/>
    </row>
    <row r="6303" spans="4:4">
      <c r="D6303" s="16"/>
    </row>
    <row r="6304" spans="4:4">
      <c r="D6304" s="16"/>
    </row>
    <row r="6305" spans="4:4">
      <c r="D6305" s="16"/>
    </row>
    <row r="6306" spans="4:4">
      <c r="D6306" s="16"/>
    </row>
    <row r="6307" spans="4:4">
      <c r="D6307" s="16"/>
    </row>
    <row r="6308" spans="4:4">
      <c r="D6308" s="16"/>
    </row>
    <row r="6309" spans="4:4">
      <c r="D6309" s="16"/>
    </row>
    <row r="6310" spans="4:4">
      <c r="D6310" s="16"/>
    </row>
    <row r="6311" spans="4:4">
      <c r="D6311" s="16"/>
    </row>
  </sheetData>
  <mergeCells count="19">
    <mergeCell ref="A174:B174"/>
    <mergeCell ref="A175:B175"/>
    <mergeCell ref="A222:B222"/>
    <mergeCell ref="A143:B143"/>
    <mergeCell ref="B144:B145"/>
    <mergeCell ref="A163:B163"/>
    <mergeCell ref="A164:B164"/>
    <mergeCell ref="B106:B107"/>
    <mergeCell ref="A126:B126"/>
    <mergeCell ref="B127:B128"/>
    <mergeCell ref="A80:B80"/>
    <mergeCell ref="B81:B82"/>
    <mergeCell ref="A97:B97"/>
    <mergeCell ref="A102:B102"/>
    <mergeCell ref="A25:B25"/>
    <mergeCell ref="A26:B26"/>
    <mergeCell ref="A66:B66"/>
    <mergeCell ref="A70:B70"/>
    <mergeCell ref="A105:B105"/>
  </mergeCells>
  <phoneticPr fontId="2" type="noConversion"/>
  <hyperlinks>
    <hyperlink ref="A1" r:id="rId1" display="http://www.laborcommissioner.com/10rates/douglas.html"/>
    <hyperlink ref="B4" location="SHEET" display="SHEET"/>
    <hyperlink ref="B15" location="BRICK ZONE 07" display="BRICK ZONE 07"/>
    <hyperlink ref="B18" location="carp zone" display="carp zone"/>
    <hyperlink ref="B54" location="laborer zone" display="laborer zone"/>
    <hyperlink ref="B64" location="laborer zone" display="laborer zone"/>
    <hyperlink ref="B67" location="Hod Brick Zone" display="Hod Brick Zone"/>
    <hyperlink ref="B71" location="Hob Plaster Zone" display="Hob Plaster Zone"/>
    <hyperlink ref="B76" r:id="rId2" display="http://www.laborcommissioner.com/10rates/2010 Amendments/2010Amendment1.htm"/>
    <hyperlink ref="A82" location="LABORER GROUP" display="LABORER GROUP"/>
    <hyperlink ref="B81" location="laborer zone" display="laborer zone"/>
    <hyperlink ref="B98" r:id="rId3" display="http://www.laborcommissioner.com/10rates/2010 Amendments/2010Amendment2.htm"/>
    <hyperlink ref="A107" location="OP GROUPS" display="OP GROUPS"/>
    <hyperlink ref="B106" location="OP ZONE" display="OP ZONE"/>
    <hyperlink ref="A128" location="OP GROUP  STEEL" display="OP GROUP  STEEL"/>
    <hyperlink ref="B127" location="OP ZONE" display="OP ZONE"/>
    <hyperlink ref="A145" location="OP GROUP PILEDRIVER" display="OP GROUP PILEDRIVER"/>
    <hyperlink ref="B179" location="plas_zone" display="plas_zone"/>
    <hyperlink ref="B192" location="SHEET" display="SHEET"/>
    <hyperlink ref="B220" location="laborer zone" display="laborer zone"/>
    <hyperlink ref="B208" location="TILE 09" display="TILE 09"/>
    <hyperlink ref="B211" location="TILE 09" display="TILE 09"/>
    <hyperlink ref="B229" location="laborer zone" display="laborer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2"/>
  <sheetViews>
    <sheetView workbookViewId="0">
      <selection activeCell="M1" sqref="M1:M1048576"/>
    </sheetView>
  </sheetViews>
  <sheetFormatPr defaultRowHeight="12.75"/>
  <cols>
    <col min="1" max="1" width="36.7109375" customWidth="1"/>
    <col min="2" max="2" width="9.28515625" style="9" customWidth="1"/>
    <col min="3" max="3" width="10" style="9" customWidth="1"/>
    <col min="4" max="4" width="10.85546875" customWidth="1"/>
    <col min="6" max="6" width="20.140625" customWidth="1"/>
    <col min="7" max="7" width="7.42578125" style="40" customWidth="1"/>
    <col min="8" max="8" width="11.140625" customWidth="1"/>
    <col min="9" max="9" width="11.85546875" customWidth="1"/>
    <col min="10" max="10" width="10.140625" customWidth="1"/>
    <col min="11" max="11" width="16.7109375" customWidth="1"/>
    <col min="12" max="12" width="12.42578125" customWidth="1"/>
  </cols>
  <sheetData>
    <row r="1" spans="1:12" ht="48" customHeight="1">
      <c r="A1" s="48" t="s">
        <v>3991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30"/>
      <c r="C2" s="30"/>
      <c r="D2" s="21">
        <f>AVERAGE(D5:D287)</f>
        <v>1.4070859401104221E-2</v>
      </c>
      <c r="F2" s="21">
        <f>AVERAGE(F5:F287)</f>
        <v>-2.5243430283436157E-2</v>
      </c>
      <c r="H2" s="21">
        <f>AVERAGE(H5:H287)</f>
        <v>1.4787531374526666E-3</v>
      </c>
      <c r="I2" s="21">
        <f>AVERAGE(I5:I287)</f>
        <v>-8.9277243270132187E-2</v>
      </c>
      <c r="L2" s="21">
        <f>AVERAGE(L5:L287)</f>
        <v>0.4898119694861065</v>
      </c>
    </row>
    <row r="3" spans="1:12">
      <c r="D3" s="16"/>
    </row>
    <row r="4" spans="1:12">
      <c r="A4" s="2" t="s">
        <v>3500</v>
      </c>
      <c r="B4" s="7"/>
      <c r="C4" s="44"/>
      <c r="D4" s="43"/>
      <c r="E4" s="8"/>
      <c r="F4" s="8"/>
      <c r="G4" s="23" t="s">
        <v>3983</v>
      </c>
      <c r="H4" s="43">
        <f>AVERAGE(F5:F7)</f>
        <v>0.45080349591203839</v>
      </c>
      <c r="I4" s="8"/>
      <c r="J4" s="44"/>
      <c r="K4" s="44"/>
      <c r="L4" s="43"/>
    </row>
    <row r="5" spans="1:12">
      <c r="A5" s="1" t="s">
        <v>3502</v>
      </c>
      <c r="B5" s="7">
        <v>46.6</v>
      </c>
      <c r="C5" s="7">
        <v>48.35</v>
      </c>
      <c r="D5" s="16">
        <f>(C5-B5)/B5</f>
        <v>3.7553648068669523E-2</v>
      </c>
      <c r="E5" s="9">
        <v>35.47</v>
      </c>
      <c r="F5" s="16">
        <f>(C5-E5)/E5</f>
        <v>0.36312376656329298</v>
      </c>
      <c r="J5" s="9"/>
      <c r="K5" s="9"/>
      <c r="L5" s="16"/>
    </row>
    <row r="6" spans="1:12">
      <c r="A6" s="1" t="s">
        <v>3503</v>
      </c>
      <c r="B6" s="7">
        <v>49.62</v>
      </c>
      <c r="C6" s="7">
        <v>51.46</v>
      </c>
      <c r="D6" s="16">
        <f>(C6-B6)/B6</f>
        <v>3.70818218460299E-2</v>
      </c>
      <c r="E6" s="9">
        <v>35.47</v>
      </c>
      <c r="F6" s="16">
        <f>(C6-E6)/E6</f>
        <v>0.45080349591203839</v>
      </c>
      <c r="J6" s="9"/>
      <c r="K6" s="9"/>
      <c r="L6" s="16"/>
    </row>
    <row r="7" spans="1:12">
      <c r="A7" s="1" t="s">
        <v>3504</v>
      </c>
      <c r="B7" s="7">
        <v>52.64</v>
      </c>
      <c r="C7" s="7">
        <v>54.57</v>
      </c>
      <c r="D7" s="16">
        <f>(C7-B7)/B7</f>
        <v>3.666413373860182E-2</v>
      </c>
      <c r="E7" s="9">
        <v>35.47</v>
      </c>
      <c r="F7" s="16">
        <f>(C7-E7)/E7</f>
        <v>0.53848322526078385</v>
      </c>
      <c r="J7" s="9"/>
      <c r="K7" s="9"/>
      <c r="L7" s="16"/>
    </row>
    <row r="8" spans="1:12">
      <c r="A8" s="1"/>
      <c r="B8" s="7"/>
      <c r="C8" s="7"/>
      <c r="D8" s="16"/>
      <c r="E8" s="9"/>
      <c r="J8" s="9"/>
      <c r="K8" s="9"/>
      <c r="L8" s="16"/>
    </row>
    <row r="9" spans="1:12">
      <c r="A9" s="2" t="s">
        <v>3505</v>
      </c>
      <c r="B9" s="7"/>
      <c r="C9" s="31"/>
      <c r="D9" s="43"/>
      <c r="E9" s="44"/>
      <c r="F9" s="8"/>
      <c r="G9" s="23" t="s">
        <v>3983</v>
      </c>
      <c r="H9" s="43">
        <f>AVERAGE(F10:F12)</f>
        <v>0</v>
      </c>
      <c r="I9" s="8"/>
      <c r="J9" s="44"/>
      <c r="K9" s="44"/>
      <c r="L9" s="43"/>
    </row>
    <row r="10" spans="1:12">
      <c r="A10" s="1" t="s">
        <v>3903</v>
      </c>
      <c r="B10" s="7">
        <v>30.88</v>
      </c>
      <c r="C10" s="7">
        <v>31.61</v>
      </c>
      <c r="D10" s="16">
        <f>(C10-B10)/B10</f>
        <v>2.3639896373057009E-2</v>
      </c>
      <c r="E10" s="9">
        <v>31.61</v>
      </c>
      <c r="F10" s="16">
        <f>(C10-E10)/E10</f>
        <v>0</v>
      </c>
      <c r="J10" s="9"/>
      <c r="K10" s="9"/>
      <c r="L10" s="16"/>
    </row>
    <row r="11" spans="1:12">
      <c r="A11" s="1"/>
      <c r="B11" s="7"/>
      <c r="C11" s="7"/>
      <c r="D11" s="16"/>
      <c r="E11" s="9"/>
      <c r="J11" s="9"/>
      <c r="K11" s="9"/>
      <c r="L11" s="16"/>
    </row>
    <row r="12" spans="1:12">
      <c r="A12" s="2" t="s">
        <v>3507</v>
      </c>
      <c r="B12" s="11" t="s">
        <v>3534</v>
      </c>
      <c r="C12" s="8" t="s">
        <v>3981</v>
      </c>
      <c r="D12" s="43"/>
      <c r="E12" s="44"/>
      <c r="F12" s="8"/>
      <c r="G12" s="23" t="s">
        <v>3983</v>
      </c>
      <c r="H12" s="43">
        <f>AVERAGE(F13:F15)</f>
        <v>1.8693032596941044E-2</v>
      </c>
      <c r="I12" s="8"/>
      <c r="J12" s="44"/>
      <c r="K12" s="44"/>
      <c r="L12" s="43"/>
    </row>
    <row r="13" spans="1:12">
      <c r="A13" s="1" t="s">
        <v>3918</v>
      </c>
      <c r="B13" s="7">
        <v>59.5</v>
      </c>
      <c r="C13" s="7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J13" s="9"/>
      <c r="K13" s="9"/>
      <c r="L13" s="16"/>
    </row>
    <row r="14" spans="1:12">
      <c r="A14" s="1" t="s">
        <v>3919</v>
      </c>
      <c r="B14" s="7">
        <v>59.5</v>
      </c>
      <c r="C14" s="7">
        <v>65.94</v>
      </c>
      <c r="D14" s="16">
        <f>(C14-B14)/B14</f>
        <v>0.10823529411764703</v>
      </c>
      <c r="E14" s="9">
        <v>64.73</v>
      </c>
      <c r="F14" s="16">
        <f>(C14-E14)/E14</f>
        <v>1.8693032596941044E-2</v>
      </c>
      <c r="J14" s="9"/>
      <c r="K14" s="9"/>
      <c r="L14" s="16"/>
    </row>
    <row r="15" spans="1:12">
      <c r="A15" s="1" t="s">
        <v>3920</v>
      </c>
      <c r="B15" s="7">
        <v>59.5</v>
      </c>
      <c r="C15" s="7">
        <v>65.94</v>
      </c>
      <c r="D15" s="16">
        <f>(C15-B15)/B15</f>
        <v>0.10823529411764703</v>
      </c>
      <c r="E15" s="9">
        <v>64.73</v>
      </c>
      <c r="F15" s="16">
        <f>(C15-E15)/E15</f>
        <v>1.8693032596941044E-2</v>
      </c>
      <c r="J15" s="9"/>
      <c r="K15" s="9"/>
      <c r="L15" s="16"/>
    </row>
    <row r="16" spans="1:12">
      <c r="A16" s="1"/>
      <c r="B16" s="7"/>
      <c r="C16" s="7"/>
      <c r="D16" s="16"/>
      <c r="E16" s="9"/>
      <c r="J16" s="9"/>
      <c r="K16" s="9"/>
      <c r="L16" s="16"/>
    </row>
    <row r="17" spans="1:12" ht="38.25">
      <c r="A17" s="2" t="s">
        <v>3509</v>
      </c>
      <c r="B17" s="12" t="s">
        <v>3754</v>
      </c>
      <c r="C17" s="8" t="s">
        <v>3496</v>
      </c>
      <c r="D17" s="43"/>
      <c r="E17" s="44"/>
      <c r="F17" s="8"/>
      <c r="G17" s="23" t="s">
        <v>3983</v>
      </c>
      <c r="H17" s="43">
        <f>AVERAGE(F18:F20)</f>
        <v>-0.28065155183799251</v>
      </c>
      <c r="I17" s="8"/>
      <c r="J17" s="44"/>
      <c r="K17" s="44"/>
      <c r="L17" s="43"/>
    </row>
    <row r="18" spans="1:12">
      <c r="A18" s="1" t="s">
        <v>3904</v>
      </c>
      <c r="B18" s="7">
        <v>32.68</v>
      </c>
      <c r="C18" s="7">
        <v>32.68</v>
      </c>
      <c r="D18" s="16">
        <f>(C18-B18)/B18</f>
        <v>0</v>
      </c>
      <c r="E18" s="9">
        <v>45.43</v>
      </c>
      <c r="F18" s="16">
        <f>(C18-E18)/E18</f>
        <v>-0.28065155183799251</v>
      </c>
      <c r="J18" s="9"/>
      <c r="K18" s="9"/>
      <c r="L18" s="16"/>
    </row>
    <row r="19" spans="1:12">
      <c r="A19" s="1"/>
      <c r="B19" s="7"/>
      <c r="C19" s="7"/>
      <c r="D19" s="16"/>
      <c r="E19" s="9"/>
      <c r="J19" s="9"/>
      <c r="K19" s="9"/>
      <c r="L19" s="16"/>
    </row>
    <row r="20" spans="1:12" ht="38.25">
      <c r="A20" s="2" t="s">
        <v>3514</v>
      </c>
      <c r="B20" s="12" t="s">
        <v>3510</v>
      </c>
      <c r="C20" s="51"/>
      <c r="D20" s="43"/>
      <c r="E20" s="44"/>
      <c r="F20" s="8"/>
      <c r="G20" s="23" t="s">
        <v>3983</v>
      </c>
      <c r="H20" s="43">
        <f>AVERAGE(F21:F23)</f>
        <v>-4.6177526936890647E-3</v>
      </c>
      <c r="I20" s="8"/>
      <c r="J20" s="44"/>
      <c r="K20" s="44"/>
      <c r="L20" s="43"/>
    </row>
    <row r="21" spans="1:12">
      <c r="A21" s="1" t="s">
        <v>3921</v>
      </c>
      <c r="B21" s="7">
        <v>38.299999999999997</v>
      </c>
      <c r="C21" s="7">
        <v>38.799999999999997</v>
      </c>
      <c r="D21" s="16">
        <f>(C21-B21)/B21</f>
        <v>1.3054830287206267E-2</v>
      </c>
      <c r="E21" s="9">
        <v>38.979999999999997</v>
      </c>
      <c r="F21" s="16">
        <f>(C21-E21)/E21</f>
        <v>-4.6177526936890647E-3</v>
      </c>
      <c r="J21" s="9">
        <v>21.86</v>
      </c>
      <c r="K21" s="9">
        <f>J21*1.4</f>
        <v>30.603999999999996</v>
      </c>
      <c r="L21" s="16">
        <f>(C21-K21)/K21</f>
        <v>0.26780812965625417</v>
      </c>
    </row>
    <row r="22" spans="1:12">
      <c r="A22" s="1"/>
      <c r="B22" s="7"/>
      <c r="C22" s="7"/>
      <c r="D22" s="16"/>
      <c r="E22" s="9"/>
      <c r="J22" s="9"/>
      <c r="K22" s="9">
        <f t="shared" ref="K22:K85" si="0">J22*1.4</f>
        <v>0</v>
      </c>
      <c r="L22" s="16"/>
    </row>
    <row r="23" spans="1:12">
      <c r="A23" s="2" t="s">
        <v>3517</v>
      </c>
      <c r="B23" s="7"/>
      <c r="C23" s="31"/>
      <c r="D23" s="43"/>
      <c r="E23" s="44"/>
      <c r="F23" s="8"/>
      <c r="G23" s="23" t="s">
        <v>3983</v>
      </c>
      <c r="H23" s="43">
        <f>AVERAGE(F24:F25)</f>
        <v>5.3961942629934014E-3</v>
      </c>
      <c r="I23" s="8"/>
      <c r="J23" s="44"/>
      <c r="K23" s="9">
        <f t="shared" si="0"/>
        <v>0</v>
      </c>
      <c r="L23" s="43"/>
    </row>
    <row r="24" spans="1:12">
      <c r="A24" s="1" t="s">
        <v>3521</v>
      </c>
      <c r="B24" s="7">
        <v>34.4</v>
      </c>
      <c r="C24" s="7">
        <v>34.4</v>
      </c>
      <c r="D24" s="16">
        <f>(C24-B24)/B24</f>
        <v>0</v>
      </c>
      <c r="E24" s="9">
        <v>35.21</v>
      </c>
      <c r="F24" s="16">
        <f>(C24-E24)/E24</f>
        <v>-2.3004828173814322E-2</v>
      </c>
      <c r="J24" s="9">
        <v>22.03</v>
      </c>
      <c r="K24" s="9">
        <f t="shared" si="0"/>
        <v>30.841999999999999</v>
      </c>
      <c r="L24" s="16">
        <f>(C24-K24)/K24</f>
        <v>0.11536216847156475</v>
      </c>
    </row>
    <row r="25" spans="1:12">
      <c r="A25" s="1" t="s">
        <v>3522</v>
      </c>
      <c r="B25" s="7">
        <v>36.4</v>
      </c>
      <c r="C25" s="7">
        <v>36.4</v>
      </c>
      <c r="D25" s="16">
        <f>(C25-B25)/B25</f>
        <v>0</v>
      </c>
      <c r="E25" s="9">
        <v>35.21</v>
      </c>
      <c r="F25" s="16">
        <f>(C25-E25)/E25</f>
        <v>3.3797216699801125E-2</v>
      </c>
      <c r="J25" s="9">
        <v>22.03</v>
      </c>
      <c r="K25" s="9">
        <f t="shared" si="0"/>
        <v>30.841999999999999</v>
      </c>
      <c r="L25" s="16">
        <f>(C25-K25)/K25</f>
        <v>0.1802088061733999</v>
      </c>
    </row>
    <row r="26" spans="1:12">
      <c r="A26" s="143"/>
      <c r="B26" s="143"/>
      <c r="C26" s="7"/>
      <c r="D26" s="16"/>
      <c r="E26" s="9"/>
      <c r="J26" s="9"/>
      <c r="K26" s="9">
        <f t="shared" si="0"/>
        <v>0</v>
      </c>
      <c r="L26" s="16"/>
    </row>
    <row r="27" spans="1:12" ht="25.5">
      <c r="A27" s="2" t="s">
        <v>3676</v>
      </c>
      <c r="B27" s="7"/>
      <c r="C27" s="31"/>
      <c r="D27" s="43"/>
      <c r="E27" s="44"/>
      <c r="F27" s="8"/>
      <c r="G27" s="23" t="s">
        <v>3983</v>
      </c>
      <c r="H27" s="43">
        <f>AVERAGE(F28:F30)</f>
        <v>1.1019283746556485E-2</v>
      </c>
      <c r="I27" s="8"/>
      <c r="J27" s="44"/>
      <c r="K27" s="9">
        <f t="shared" si="0"/>
        <v>0</v>
      </c>
      <c r="L27" s="43"/>
    </row>
    <row r="28" spans="1:12">
      <c r="A28" s="1" t="s">
        <v>3525</v>
      </c>
      <c r="B28" s="7">
        <v>27.97</v>
      </c>
      <c r="C28" s="7">
        <v>29.36</v>
      </c>
      <c r="D28" s="16">
        <f>(C28-B28)/B28</f>
        <v>4.9696102967465162E-2</v>
      </c>
      <c r="E28" s="9">
        <v>29.04</v>
      </c>
      <c r="F28" s="16">
        <f>(C28-E28)/E28</f>
        <v>1.1019283746556485E-2</v>
      </c>
      <c r="J28" s="9"/>
      <c r="K28" s="9">
        <f t="shared" si="0"/>
        <v>0</v>
      </c>
      <c r="L28" s="16"/>
    </row>
    <row r="29" spans="1:12">
      <c r="A29" s="1"/>
      <c r="B29" s="7"/>
      <c r="C29" s="7"/>
      <c r="D29" s="16"/>
      <c r="E29" s="9"/>
      <c r="J29" s="9"/>
      <c r="K29" s="9">
        <f t="shared" si="0"/>
        <v>0</v>
      </c>
      <c r="L29" s="16"/>
    </row>
    <row r="30" spans="1:12" ht="12.75" customHeight="1">
      <c r="A30" s="2" t="s">
        <v>3763</v>
      </c>
      <c r="B30" s="2"/>
      <c r="C30" s="8" t="s">
        <v>3499</v>
      </c>
      <c r="D30" s="43"/>
      <c r="E30" s="44"/>
      <c r="F30" s="8"/>
      <c r="G30" s="23" t="s">
        <v>3983</v>
      </c>
      <c r="H30" s="43">
        <f>AVERAGE(F31:F35)</f>
        <v>2.2015392876320074E-2</v>
      </c>
      <c r="I30" s="8"/>
      <c r="J30" s="44"/>
      <c r="K30" s="9">
        <f t="shared" si="0"/>
        <v>0</v>
      </c>
      <c r="L30" s="43"/>
    </row>
    <row r="31" spans="1:12">
      <c r="A31" s="1" t="s">
        <v>3528</v>
      </c>
      <c r="B31" s="7">
        <v>39.19</v>
      </c>
      <c r="C31" s="7">
        <v>40.5</v>
      </c>
      <c r="D31" s="16">
        <f>(C31-B31)/B31</f>
        <v>3.3426894615973521E-2</v>
      </c>
      <c r="E31" s="9">
        <v>55.87</v>
      </c>
      <c r="F31" s="16">
        <f>(C31-E31)/E31</f>
        <v>-0.27510291748702342</v>
      </c>
      <c r="J31" s="9">
        <v>21.6</v>
      </c>
      <c r="K31" s="9">
        <f t="shared" si="0"/>
        <v>30.24</v>
      </c>
      <c r="L31" s="16">
        <f>(C31-K31)/K31</f>
        <v>0.33928571428571436</v>
      </c>
    </row>
    <row r="32" spans="1:12">
      <c r="A32" s="1" t="s">
        <v>3529</v>
      </c>
      <c r="B32" s="7">
        <v>57.91</v>
      </c>
      <c r="C32" s="7">
        <v>59.9</v>
      </c>
      <c r="D32" s="16">
        <f>(C32-B32)/B32</f>
        <v>3.4363667760317768E-2</v>
      </c>
      <c r="E32" s="9">
        <v>55.87</v>
      </c>
      <c r="F32" s="16">
        <f>(C32-E32)/E32</f>
        <v>7.2131734383390031E-2</v>
      </c>
      <c r="J32" s="9">
        <v>21.6</v>
      </c>
      <c r="K32" s="9">
        <f t="shared" si="0"/>
        <v>30.24</v>
      </c>
      <c r="L32" s="16">
        <f t="shared" ref="L32:L35" si="1">(C32-K32)/K32</f>
        <v>0.98082010582010593</v>
      </c>
    </row>
    <row r="33" spans="1:12">
      <c r="A33" s="1" t="s">
        <v>3530</v>
      </c>
      <c r="B33" s="7">
        <v>63.02</v>
      </c>
      <c r="C33" s="7">
        <v>65.16</v>
      </c>
      <c r="D33" s="16">
        <f>(C33-B33)/B33</f>
        <v>3.3957473817835503E-2</v>
      </c>
      <c r="E33" s="9">
        <v>55.87</v>
      </c>
      <c r="F33" s="16">
        <f>(C33-E33)/E33</f>
        <v>0.16627886164310005</v>
      </c>
      <c r="J33" s="9">
        <v>21.6</v>
      </c>
      <c r="K33" s="9">
        <f t="shared" si="0"/>
        <v>30.24</v>
      </c>
      <c r="L33" s="16">
        <f t="shared" si="1"/>
        <v>1.1547619047619049</v>
      </c>
    </row>
    <row r="34" spans="1:12">
      <c r="A34" s="1" t="s">
        <v>3531</v>
      </c>
      <c r="B34" s="7">
        <v>68.12</v>
      </c>
      <c r="C34" s="7">
        <v>70.45</v>
      </c>
      <c r="D34" s="16">
        <f>(C34-B34)/B34</f>
        <v>3.4204345273047533E-2</v>
      </c>
      <c r="E34" s="9">
        <v>55.87</v>
      </c>
      <c r="F34" s="16">
        <f>(C34-E34)/E34</f>
        <v>0.26096294970467165</v>
      </c>
      <c r="J34" s="9">
        <v>21.6</v>
      </c>
      <c r="K34" s="9">
        <f t="shared" si="0"/>
        <v>30.24</v>
      </c>
      <c r="L34" s="16">
        <f t="shared" si="1"/>
        <v>1.3296957671957674</v>
      </c>
    </row>
    <row r="35" spans="1:12">
      <c r="A35" s="1" t="s">
        <v>3922</v>
      </c>
      <c r="B35" s="7">
        <v>47.86</v>
      </c>
      <c r="C35" s="7">
        <v>49.49</v>
      </c>
      <c r="D35" s="16">
        <f>(C35-B35)/B35</f>
        <v>3.4057668198913552E-2</v>
      </c>
      <c r="E35" s="9">
        <v>55.87</v>
      </c>
      <c r="F35" s="16">
        <f>(C35-E35)/E35</f>
        <v>-0.11419366386253796</v>
      </c>
      <c r="J35" s="9">
        <v>21.6</v>
      </c>
      <c r="K35" s="9">
        <f t="shared" si="0"/>
        <v>30.24</v>
      </c>
      <c r="L35" s="16">
        <f t="shared" si="1"/>
        <v>0.63657407407407418</v>
      </c>
    </row>
    <row r="36" spans="1:12">
      <c r="A36" s="1"/>
      <c r="B36" s="7"/>
      <c r="C36" s="7"/>
      <c r="D36" s="16"/>
      <c r="E36" s="9"/>
      <c r="J36" s="9"/>
      <c r="K36" s="9">
        <f t="shared" si="0"/>
        <v>0</v>
      </c>
      <c r="L36" s="16"/>
    </row>
    <row r="37" spans="1:12">
      <c r="A37" s="2" t="s">
        <v>3533</v>
      </c>
      <c r="B37" s="11" t="s">
        <v>3534</v>
      </c>
      <c r="C37" s="8" t="s">
        <v>3981</v>
      </c>
      <c r="D37" s="43"/>
      <c r="E37" s="44"/>
      <c r="F37" s="8"/>
      <c r="G37" s="23" t="s">
        <v>3983</v>
      </c>
      <c r="H37" s="43">
        <f>AVERAGE(F38:F40)</f>
        <v>5.7445868316395301E-3</v>
      </c>
      <c r="I37" s="8"/>
      <c r="J37" s="44"/>
      <c r="K37" s="9">
        <f t="shared" si="0"/>
        <v>0</v>
      </c>
      <c r="L37" s="43"/>
    </row>
    <row r="38" spans="1:12">
      <c r="A38" s="1" t="s">
        <v>3535</v>
      </c>
      <c r="B38" s="7">
        <v>44.31</v>
      </c>
      <c r="C38" s="7">
        <v>45.52</v>
      </c>
      <c r="D38" s="16">
        <f>(C38-B38)/B38</f>
        <v>2.7307605506657655E-2</v>
      </c>
      <c r="E38" s="9">
        <v>45.26</v>
      </c>
      <c r="F38" s="16">
        <f>(C38-E38)/E38</f>
        <v>5.7445868316395301E-3</v>
      </c>
      <c r="J38" s="9"/>
      <c r="K38" s="9">
        <f t="shared" si="0"/>
        <v>0</v>
      </c>
      <c r="L38" s="16"/>
    </row>
    <row r="39" spans="1:12">
      <c r="A39" s="1"/>
      <c r="B39" s="7"/>
      <c r="C39" s="7"/>
      <c r="D39" s="16"/>
      <c r="E39" s="9"/>
      <c r="J39" s="9"/>
      <c r="K39" s="9">
        <f t="shared" si="0"/>
        <v>0</v>
      </c>
      <c r="L39" s="16"/>
    </row>
    <row r="40" spans="1:12">
      <c r="A40" s="2" t="s">
        <v>3536</v>
      </c>
      <c r="B40" s="11" t="s">
        <v>3534</v>
      </c>
      <c r="C40" s="33" t="s">
        <v>3534</v>
      </c>
      <c r="D40" s="43"/>
      <c r="E40" s="44"/>
      <c r="F40" s="8"/>
      <c r="G40" s="23" t="s">
        <v>3983</v>
      </c>
      <c r="H40" s="43">
        <f>AVERAGE(F41:F44)</f>
        <v>7.8656126482213401E-2</v>
      </c>
      <c r="I40" s="8"/>
      <c r="J40" s="44"/>
      <c r="K40" s="9">
        <f t="shared" si="0"/>
        <v>0</v>
      </c>
      <c r="L40" s="43"/>
    </row>
    <row r="41" spans="1:12">
      <c r="A41" s="1" t="s">
        <v>3537</v>
      </c>
      <c r="B41" s="7">
        <v>41.58</v>
      </c>
      <c r="C41" s="7">
        <v>50.78</v>
      </c>
      <c r="D41" s="16">
        <f>(C41-B41)/B41</f>
        <v>0.22126022126022135</v>
      </c>
      <c r="E41" s="9">
        <v>50.6</v>
      </c>
      <c r="F41" s="16">
        <f>(C41-E41)/E41</f>
        <v>3.5573122529644211E-3</v>
      </c>
      <c r="J41" s="9">
        <v>23.64</v>
      </c>
      <c r="K41" s="9">
        <f t="shared" si="0"/>
        <v>33.095999999999997</v>
      </c>
      <c r="L41" s="16">
        <f>(C41-K41)/K41</f>
        <v>0.53432438965433904</v>
      </c>
    </row>
    <row r="42" spans="1:12">
      <c r="A42" s="1" t="s">
        <v>3538</v>
      </c>
      <c r="B42" s="7">
        <v>41.58</v>
      </c>
      <c r="C42" s="7">
        <v>54.58</v>
      </c>
      <c r="D42" s="16">
        <f>(C42-B42)/B42</f>
        <v>0.31265031265031268</v>
      </c>
      <c r="E42" s="9">
        <v>50.6</v>
      </c>
      <c r="F42" s="16">
        <f>(C42-E42)/E42</f>
        <v>7.8656126482213373E-2</v>
      </c>
      <c r="J42" s="9">
        <v>23.64</v>
      </c>
      <c r="K42" s="9">
        <f t="shared" si="0"/>
        <v>33.095999999999997</v>
      </c>
      <c r="L42" s="16">
        <f t="shared" ref="L42:L44" si="2">(C42-K42)/K42</f>
        <v>0.64914189025864166</v>
      </c>
    </row>
    <row r="43" spans="1:12">
      <c r="A43" s="1" t="s">
        <v>3601</v>
      </c>
      <c r="B43" s="7">
        <v>41.58</v>
      </c>
      <c r="C43" s="7">
        <v>54.58</v>
      </c>
      <c r="D43" s="16">
        <f>(C43-B43)/B43</f>
        <v>0.31265031265031268</v>
      </c>
      <c r="E43" s="9">
        <v>50.6</v>
      </c>
      <c r="F43" s="16">
        <f>(C43-E43)/E43</f>
        <v>7.8656126482213373E-2</v>
      </c>
      <c r="J43" s="9">
        <v>23.64</v>
      </c>
      <c r="K43" s="9">
        <f t="shared" si="0"/>
        <v>33.095999999999997</v>
      </c>
      <c r="L43" s="16">
        <f t="shared" si="2"/>
        <v>0.64914189025864166</v>
      </c>
    </row>
    <row r="44" spans="1:12">
      <c r="A44" s="1" t="s">
        <v>3766</v>
      </c>
      <c r="B44" s="7">
        <v>41.58</v>
      </c>
      <c r="C44" s="7">
        <v>58.38</v>
      </c>
      <c r="D44" s="16">
        <f>(C44-B44)/B44</f>
        <v>0.40404040404040414</v>
      </c>
      <c r="E44" s="9">
        <v>50.6</v>
      </c>
      <c r="F44" s="16">
        <f>(C44-E44)/E44</f>
        <v>0.15375494071146248</v>
      </c>
      <c r="J44" s="9">
        <v>23.64</v>
      </c>
      <c r="K44" s="9">
        <f t="shared" si="0"/>
        <v>33.095999999999997</v>
      </c>
      <c r="L44" s="16">
        <f t="shared" si="2"/>
        <v>0.7639593908629444</v>
      </c>
    </row>
    <row r="45" spans="1:12">
      <c r="A45" s="1"/>
      <c r="B45" s="7"/>
      <c r="C45" s="7"/>
      <c r="D45" s="16"/>
      <c r="E45" s="9"/>
      <c r="J45" s="9"/>
      <c r="K45" s="9">
        <f t="shared" si="0"/>
        <v>0</v>
      </c>
      <c r="L45" s="16"/>
    </row>
    <row r="46" spans="1:12">
      <c r="A46" s="2" t="s">
        <v>3541</v>
      </c>
      <c r="B46" s="11" t="s">
        <v>3534</v>
      </c>
      <c r="C46" s="8" t="s">
        <v>3497</v>
      </c>
      <c r="D46" s="43"/>
      <c r="E46" s="44"/>
      <c r="F46" s="8"/>
      <c r="G46" s="23" t="s">
        <v>3983</v>
      </c>
      <c r="H46" s="43">
        <f>AVERAGE(F47:F48)</f>
        <v>0.13484470327232381</v>
      </c>
      <c r="I46" s="8"/>
      <c r="J46" s="44"/>
      <c r="K46" s="9">
        <f t="shared" si="0"/>
        <v>0</v>
      </c>
      <c r="L46" s="43"/>
    </row>
    <row r="47" spans="1:12" ht="25.5">
      <c r="A47" s="1" t="s">
        <v>3542</v>
      </c>
      <c r="B47" s="7">
        <v>46.01</v>
      </c>
      <c r="C47" s="7">
        <v>78.209999999999994</v>
      </c>
      <c r="D47" s="16">
        <f>(C47-B47)/B47</f>
        <v>0.69984785916105186</v>
      </c>
      <c r="E47" s="9">
        <v>72.12</v>
      </c>
      <c r="F47" s="16">
        <f>(C47-E47)/E47</f>
        <v>8.4442595673876714E-2</v>
      </c>
      <c r="J47" s="9"/>
      <c r="K47" s="9">
        <f t="shared" si="0"/>
        <v>0</v>
      </c>
      <c r="L47" s="16"/>
    </row>
    <row r="48" spans="1:12">
      <c r="A48" s="1" t="s">
        <v>3543</v>
      </c>
      <c r="B48" s="7">
        <v>46.01</v>
      </c>
      <c r="C48" s="7">
        <v>85.48</v>
      </c>
      <c r="D48" s="16">
        <f>(C48-B48)/B48</f>
        <v>0.85785698761138895</v>
      </c>
      <c r="E48" s="9">
        <v>72.12</v>
      </c>
      <c r="F48" s="16">
        <f>(C48-E48)/E48</f>
        <v>0.18524681087077091</v>
      </c>
      <c r="J48" s="9"/>
      <c r="K48" s="9">
        <f t="shared" si="0"/>
        <v>0</v>
      </c>
      <c r="L48" s="16"/>
    </row>
    <row r="49" spans="1:12">
      <c r="A49" s="1"/>
      <c r="B49" s="7"/>
      <c r="C49" s="7"/>
      <c r="D49" s="16"/>
      <c r="E49" s="9"/>
      <c r="J49" s="9"/>
      <c r="K49" s="9">
        <f t="shared" si="0"/>
        <v>0</v>
      </c>
      <c r="L49" s="16"/>
    </row>
    <row r="50" spans="1:12" ht="51">
      <c r="A50" s="2" t="s">
        <v>3544</v>
      </c>
      <c r="B50" s="12" t="s">
        <v>3547</v>
      </c>
      <c r="C50" s="31"/>
      <c r="D50" s="43"/>
      <c r="E50" s="44"/>
      <c r="F50" s="8"/>
      <c r="G50" s="23" t="s">
        <v>3983</v>
      </c>
      <c r="H50" s="43">
        <f>AVERAGE(F51:F53)</f>
        <v>0</v>
      </c>
      <c r="I50" s="8"/>
      <c r="J50" s="44"/>
      <c r="K50" s="9">
        <f t="shared" si="0"/>
        <v>0</v>
      </c>
      <c r="L50" s="43"/>
    </row>
    <row r="51" spans="1:12">
      <c r="A51" s="1" t="s">
        <v>3545</v>
      </c>
      <c r="B51" s="7">
        <v>30.82</v>
      </c>
      <c r="C51" s="7">
        <v>35.47</v>
      </c>
      <c r="D51" s="16">
        <f>(C51-B51)/B51</f>
        <v>0.15087605451005837</v>
      </c>
      <c r="E51" s="9">
        <v>35.47</v>
      </c>
      <c r="F51" s="16">
        <f>(C51-E51)/E51</f>
        <v>0</v>
      </c>
      <c r="J51" s="9"/>
      <c r="K51" s="9">
        <f t="shared" si="0"/>
        <v>0</v>
      </c>
      <c r="L51" s="16"/>
    </row>
    <row r="52" spans="1:12">
      <c r="A52" s="1"/>
      <c r="B52" s="7"/>
      <c r="C52" s="7"/>
      <c r="D52" s="16"/>
      <c r="E52" s="9"/>
      <c r="J52" s="9"/>
      <c r="K52" s="9">
        <f t="shared" si="0"/>
        <v>0</v>
      </c>
      <c r="L52" s="16"/>
    </row>
    <row r="53" spans="1:12" ht="51">
      <c r="A53" s="2" t="s">
        <v>3495</v>
      </c>
      <c r="B53" s="12" t="s">
        <v>3547</v>
      </c>
      <c r="C53" s="51"/>
      <c r="D53" s="43"/>
      <c r="E53" s="44"/>
      <c r="F53" s="8"/>
      <c r="G53" s="23"/>
      <c r="H53" s="8"/>
      <c r="I53" s="8"/>
      <c r="J53" s="44"/>
      <c r="K53" s="9">
        <f t="shared" si="0"/>
        <v>0</v>
      </c>
      <c r="L53" s="43"/>
    </row>
    <row r="54" spans="1:12">
      <c r="A54" s="1" t="s">
        <v>3548</v>
      </c>
      <c r="B54" s="7">
        <v>27.95</v>
      </c>
      <c r="C54" s="7">
        <v>27.95</v>
      </c>
      <c r="D54" s="16">
        <f>(C54-B54)/B54</f>
        <v>0</v>
      </c>
      <c r="E54" s="9"/>
      <c r="J54" s="9"/>
      <c r="K54" s="9">
        <f t="shared" si="0"/>
        <v>0</v>
      </c>
      <c r="L54" s="16"/>
    </row>
    <row r="55" spans="1:12">
      <c r="A55" s="1"/>
      <c r="B55" s="7"/>
      <c r="C55" s="7"/>
      <c r="D55" s="16"/>
      <c r="E55" s="9"/>
      <c r="J55" s="9"/>
      <c r="K55" s="9">
        <f t="shared" si="0"/>
        <v>0</v>
      </c>
      <c r="L55" s="16"/>
    </row>
    <row r="56" spans="1:12">
      <c r="A56" s="2" t="s">
        <v>3549</v>
      </c>
      <c r="B56" s="7"/>
      <c r="C56" s="8" t="s">
        <v>3497</v>
      </c>
      <c r="D56" s="43"/>
      <c r="E56" s="44"/>
      <c r="F56" s="8"/>
      <c r="G56" s="23" t="s">
        <v>3983</v>
      </c>
      <c r="H56" s="43">
        <f>AVERAGE(F57:F58)</f>
        <v>3.6491324703938281E-2</v>
      </c>
      <c r="I56" s="8"/>
      <c r="J56" s="44"/>
      <c r="K56" s="9">
        <f t="shared" si="0"/>
        <v>0</v>
      </c>
      <c r="L56" s="43"/>
    </row>
    <row r="57" spans="1:12">
      <c r="A57" s="1" t="s">
        <v>3550</v>
      </c>
      <c r="B57" s="7">
        <v>36.26</v>
      </c>
      <c r="C57" s="7">
        <v>36.340000000000003</v>
      </c>
      <c r="D57" s="16">
        <f>(C57-B57)/B57</f>
        <v>2.2062879205737838E-3</v>
      </c>
      <c r="E57" s="9">
        <v>36.31</v>
      </c>
      <c r="F57" s="16">
        <f>(C57-E57)/E57</f>
        <v>8.2621867254203073E-4</v>
      </c>
      <c r="J57" s="9"/>
      <c r="K57" s="9">
        <f t="shared" si="0"/>
        <v>0</v>
      </c>
      <c r="L57" s="16"/>
    </row>
    <row r="58" spans="1:12">
      <c r="A58" s="1" t="s">
        <v>3551</v>
      </c>
      <c r="B58" s="7">
        <v>38.9</v>
      </c>
      <c r="C58" s="7">
        <v>38.93</v>
      </c>
      <c r="D58" s="16">
        <f>(C58-B58)/B58</f>
        <v>7.7120822622110891E-4</v>
      </c>
      <c r="E58" s="9">
        <v>36.31</v>
      </c>
      <c r="F58" s="16">
        <f>(C58-E58)/E58</f>
        <v>7.2156430735334537E-2</v>
      </c>
      <c r="J58" s="9"/>
      <c r="K58" s="9">
        <f t="shared" si="0"/>
        <v>0</v>
      </c>
      <c r="L58" s="16"/>
    </row>
    <row r="59" spans="1:12">
      <c r="A59" s="1"/>
      <c r="B59" s="7"/>
      <c r="C59" s="7"/>
      <c r="D59" s="16"/>
      <c r="E59" s="9"/>
      <c r="J59" s="9"/>
      <c r="K59" s="9">
        <f t="shared" si="0"/>
        <v>0</v>
      </c>
      <c r="L59" s="16"/>
    </row>
    <row r="60" spans="1:12">
      <c r="A60" s="2" t="s">
        <v>3552</v>
      </c>
      <c r="B60" s="11" t="s">
        <v>3534</v>
      </c>
      <c r="C60" s="33" t="s">
        <v>3534</v>
      </c>
      <c r="D60" s="43"/>
      <c r="E60" s="44"/>
      <c r="F60" s="8"/>
      <c r="G60" s="23" t="s">
        <v>3984</v>
      </c>
      <c r="H60" s="8"/>
      <c r="I60" s="43">
        <f>AVERAGE(F61:F63)</f>
        <v>-8.2244799225932117E-3</v>
      </c>
      <c r="J60" s="44"/>
      <c r="K60" s="9">
        <f t="shared" si="0"/>
        <v>0</v>
      </c>
      <c r="L60" s="43"/>
    </row>
    <row r="61" spans="1:12">
      <c r="A61" s="1" t="s">
        <v>3553</v>
      </c>
      <c r="B61" s="7">
        <v>21.5</v>
      </c>
      <c r="C61" s="7">
        <v>20.5</v>
      </c>
      <c r="D61" s="16">
        <f>(C61-B61)/B61</f>
        <v>-4.6511627906976744E-2</v>
      </c>
      <c r="E61" s="9">
        <v>20.67</v>
      </c>
      <c r="F61" s="16">
        <f>(C61-E61)/E61</f>
        <v>-8.2244799225932117E-3</v>
      </c>
      <c r="J61" s="9"/>
      <c r="K61" s="9">
        <f t="shared" si="0"/>
        <v>0</v>
      </c>
      <c r="L61" s="16"/>
    </row>
    <row r="62" spans="1:12">
      <c r="A62" s="1"/>
      <c r="B62" s="7"/>
      <c r="C62" s="7"/>
      <c r="D62" s="16"/>
      <c r="E62" s="9"/>
      <c r="J62" s="9"/>
      <c r="K62" s="9">
        <f t="shared" si="0"/>
        <v>0</v>
      </c>
      <c r="L62" s="16"/>
    </row>
    <row r="63" spans="1:12" ht="51">
      <c r="A63" s="2" t="s">
        <v>3554</v>
      </c>
      <c r="B63" s="12" t="s">
        <v>3547</v>
      </c>
      <c r="C63" s="51"/>
      <c r="D63" s="43"/>
      <c r="E63" s="44"/>
      <c r="F63" s="8"/>
      <c r="G63" s="23" t="s">
        <v>3983</v>
      </c>
      <c r="H63" s="43">
        <f>AVERAGE(F64:F66)</f>
        <v>0</v>
      </c>
      <c r="I63" s="8"/>
      <c r="J63" s="44"/>
      <c r="K63" s="9">
        <f t="shared" si="0"/>
        <v>0</v>
      </c>
      <c r="L63" s="43"/>
    </row>
    <row r="64" spans="1:12">
      <c r="A64" s="1" t="s">
        <v>3555</v>
      </c>
      <c r="B64" s="7">
        <v>33.57</v>
      </c>
      <c r="C64" s="7">
        <v>33.57</v>
      </c>
      <c r="D64" s="16">
        <f>(C64-B64)/B64</f>
        <v>0</v>
      </c>
      <c r="E64" s="9">
        <v>33.57</v>
      </c>
      <c r="F64" s="16">
        <f>(C64-E64)/E64</f>
        <v>0</v>
      </c>
      <c r="J64" s="9"/>
      <c r="K64" s="9">
        <f t="shared" si="0"/>
        <v>0</v>
      </c>
      <c r="L64" s="16"/>
    </row>
    <row r="65" spans="1:12">
      <c r="A65" s="143"/>
      <c r="B65" s="143"/>
      <c r="C65" s="7"/>
      <c r="D65" s="16"/>
      <c r="E65" s="9"/>
      <c r="J65" s="9"/>
      <c r="K65" s="9">
        <f t="shared" si="0"/>
        <v>0</v>
      </c>
      <c r="L65" s="16"/>
    </row>
    <row r="66" spans="1:12" ht="38.25">
      <c r="A66" s="2" t="s">
        <v>3556</v>
      </c>
      <c r="B66" s="12" t="s">
        <v>3923</v>
      </c>
      <c r="C66" s="51"/>
      <c r="D66" s="43"/>
      <c r="E66" s="44"/>
      <c r="F66" s="8"/>
      <c r="G66" s="23" t="s">
        <v>3983</v>
      </c>
      <c r="H66" s="43">
        <f>AVERAGE(F67:F68)</f>
        <v>8.3056478405315604E-3</v>
      </c>
      <c r="I66" s="8"/>
      <c r="J66" s="44"/>
      <c r="K66" s="9">
        <f t="shared" si="0"/>
        <v>0</v>
      </c>
      <c r="L66" s="43"/>
    </row>
    <row r="67" spans="1:12">
      <c r="A67" s="1" t="s">
        <v>3557</v>
      </c>
      <c r="B67" s="7">
        <v>30.1</v>
      </c>
      <c r="C67" s="7">
        <v>30.1</v>
      </c>
      <c r="D67" s="16">
        <f>(C67-B67)/B67</f>
        <v>0</v>
      </c>
      <c r="E67" s="9">
        <v>30.1</v>
      </c>
      <c r="F67" s="16">
        <f>(C67-E67)/E67</f>
        <v>0</v>
      </c>
      <c r="J67" s="9"/>
      <c r="K67" s="9">
        <f t="shared" si="0"/>
        <v>0</v>
      </c>
      <c r="L67" s="16"/>
    </row>
    <row r="68" spans="1:12">
      <c r="A68" s="1" t="s">
        <v>3683</v>
      </c>
      <c r="B68" s="7">
        <v>30.6</v>
      </c>
      <c r="C68" s="7">
        <v>30.6</v>
      </c>
      <c r="D68" s="16">
        <f>(C68-B68)/B68</f>
        <v>0</v>
      </c>
      <c r="E68" s="9">
        <v>30.1</v>
      </c>
      <c r="F68" s="16">
        <f>(C68-E68)/E68</f>
        <v>1.6611295681063121E-2</v>
      </c>
      <c r="J68" s="9"/>
      <c r="K68" s="9">
        <f t="shared" si="0"/>
        <v>0</v>
      </c>
      <c r="L68" s="16"/>
    </row>
    <row r="69" spans="1:12">
      <c r="A69" s="143"/>
      <c r="B69" s="143"/>
      <c r="C69" s="7"/>
      <c r="D69" s="16"/>
      <c r="E69" s="9"/>
      <c r="J69" s="9"/>
      <c r="K69" s="9">
        <f t="shared" si="0"/>
        <v>0</v>
      </c>
      <c r="L69" s="16"/>
    </row>
    <row r="70" spans="1:12" ht="38.25">
      <c r="A70" s="2" t="s">
        <v>3684</v>
      </c>
      <c r="B70" s="12" t="s">
        <v>3923</v>
      </c>
      <c r="C70" s="8" t="s">
        <v>3480</v>
      </c>
      <c r="D70" s="43"/>
      <c r="E70" s="44"/>
      <c r="F70" s="8"/>
      <c r="G70" s="23" t="s">
        <v>3983</v>
      </c>
      <c r="H70" s="43">
        <f>AVERAGE(F71:F73)</f>
        <v>3.9035477814013279E-2</v>
      </c>
      <c r="I70" s="8"/>
      <c r="J70" s="44"/>
      <c r="K70" s="9">
        <f t="shared" si="0"/>
        <v>0</v>
      </c>
      <c r="L70" s="43"/>
    </row>
    <row r="71" spans="1:12">
      <c r="A71" s="1" t="s">
        <v>3560</v>
      </c>
      <c r="B71" s="7">
        <v>33.76</v>
      </c>
      <c r="C71" s="7">
        <v>34.26</v>
      </c>
      <c r="D71" s="16">
        <f t="shared" ref="D71:D133" si="3">(C71-B71)/B71</f>
        <v>1.481042654028436E-2</v>
      </c>
      <c r="E71" s="9">
        <v>33.729999999999997</v>
      </c>
      <c r="F71" s="16">
        <f>(C71-E71)/E71</f>
        <v>1.5713015120071189E-2</v>
      </c>
      <c r="J71" s="9"/>
      <c r="K71" s="9">
        <f t="shared" si="0"/>
        <v>0</v>
      </c>
      <c r="L71" s="16"/>
    </row>
    <row r="72" spans="1:12">
      <c r="A72" s="1" t="s">
        <v>3561</v>
      </c>
      <c r="B72" s="7">
        <v>34.76</v>
      </c>
      <c r="C72" s="7">
        <v>35.26</v>
      </c>
      <c r="D72" s="16">
        <f t="shared" si="3"/>
        <v>1.4384349827387804E-2</v>
      </c>
      <c r="E72" s="9">
        <v>33.729999999999997</v>
      </c>
      <c r="F72" s="16">
        <f>(C72-E72)/E72</f>
        <v>4.5360213459828082E-2</v>
      </c>
      <c r="J72" s="9"/>
      <c r="K72" s="9">
        <f t="shared" si="0"/>
        <v>0</v>
      </c>
      <c r="L72" s="16"/>
    </row>
    <row r="73" spans="1:12">
      <c r="A73" s="1" t="s">
        <v>3562</v>
      </c>
      <c r="B73" s="7">
        <v>35.119999999999997</v>
      </c>
      <c r="C73" s="7">
        <v>35.619999999999997</v>
      </c>
      <c r="D73" s="16">
        <f t="shared" si="3"/>
        <v>1.4236902050113897E-2</v>
      </c>
      <c r="E73" s="9">
        <v>33.729999999999997</v>
      </c>
      <c r="F73" s="16">
        <f>(C73-E73)/E73</f>
        <v>5.603320486214055E-2</v>
      </c>
      <c r="J73" s="9"/>
      <c r="K73" s="9">
        <f t="shared" si="0"/>
        <v>0</v>
      </c>
      <c r="L73" s="16"/>
    </row>
    <row r="74" spans="1:12">
      <c r="A74" s="1"/>
      <c r="B74" s="7"/>
      <c r="C74" s="7"/>
      <c r="D74" s="16"/>
      <c r="E74" s="9"/>
      <c r="J74" s="9"/>
      <c r="K74" s="9">
        <f t="shared" si="0"/>
        <v>0</v>
      </c>
      <c r="L74" s="16"/>
    </row>
    <row r="75" spans="1:12" ht="38.25">
      <c r="A75" s="2" t="s">
        <v>3563</v>
      </c>
      <c r="B75" s="12" t="s">
        <v>3924</v>
      </c>
      <c r="C75" s="31"/>
      <c r="D75" s="43"/>
      <c r="E75" s="44"/>
      <c r="F75" s="8"/>
      <c r="G75" s="23" t="s">
        <v>3983</v>
      </c>
      <c r="H75" s="43">
        <f>AVERAGE(F76:F78)</f>
        <v>4.7984644913627604E-2</v>
      </c>
      <c r="I75" s="8"/>
      <c r="J75" s="44"/>
      <c r="K75" s="9">
        <f t="shared" si="0"/>
        <v>0</v>
      </c>
      <c r="L75" s="43"/>
    </row>
    <row r="76" spans="1:12">
      <c r="A76" s="1" t="s">
        <v>3565</v>
      </c>
      <c r="B76" s="7">
        <v>54.38</v>
      </c>
      <c r="C76" s="7">
        <v>56.74</v>
      </c>
      <c r="D76" s="16">
        <f t="shared" si="3"/>
        <v>4.3398308201544673E-2</v>
      </c>
      <c r="E76" s="9">
        <v>57.31</v>
      </c>
      <c r="F76" s="16">
        <f>(C76-E76)/E76</f>
        <v>-9.9459082184610061E-3</v>
      </c>
      <c r="J76" s="9"/>
      <c r="K76" s="9">
        <f t="shared" si="0"/>
        <v>0</v>
      </c>
      <c r="L76" s="16"/>
    </row>
    <row r="77" spans="1:12">
      <c r="A77" s="1" t="s">
        <v>3566</v>
      </c>
      <c r="B77" s="7">
        <v>57.68</v>
      </c>
      <c r="C77" s="7">
        <v>60.04</v>
      </c>
      <c r="D77" s="16">
        <f t="shared" si="3"/>
        <v>4.0915395284327312E-2</v>
      </c>
      <c r="E77" s="9">
        <v>57.31</v>
      </c>
      <c r="F77" s="16">
        <f>(C77-E77)/E77</f>
        <v>4.7635665677892111E-2</v>
      </c>
      <c r="J77" s="9"/>
      <c r="K77" s="9">
        <f t="shared" si="0"/>
        <v>0</v>
      </c>
      <c r="L77" s="16"/>
    </row>
    <row r="78" spans="1:12">
      <c r="A78" s="1" t="s">
        <v>3567</v>
      </c>
      <c r="B78" s="7">
        <v>61.04</v>
      </c>
      <c r="C78" s="7">
        <v>63.4</v>
      </c>
      <c r="D78" s="16">
        <f t="shared" si="3"/>
        <v>3.8663171690694616E-2</v>
      </c>
      <c r="E78" s="9">
        <v>57.31</v>
      </c>
      <c r="F78" s="16">
        <f>(C78-E78)/E78</f>
        <v>0.10626417728145168</v>
      </c>
      <c r="J78" s="9"/>
      <c r="K78" s="9">
        <f t="shared" si="0"/>
        <v>0</v>
      </c>
      <c r="L78" s="16"/>
    </row>
    <row r="79" spans="1:12">
      <c r="A79" s="143"/>
      <c r="B79" s="143"/>
      <c r="C79" s="7"/>
      <c r="D79" s="16"/>
      <c r="E79" s="9"/>
      <c r="J79" s="9"/>
      <c r="K79" s="9">
        <f t="shared" si="0"/>
        <v>0</v>
      </c>
      <c r="L79" s="16"/>
    </row>
    <row r="80" spans="1:12" ht="12.75" customHeight="1">
      <c r="A80" s="2" t="s">
        <v>3568</v>
      </c>
      <c r="B80" s="147" t="s">
        <v>3510</v>
      </c>
      <c r="C80" s="51"/>
      <c r="D80" s="43"/>
      <c r="E80" s="44"/>
      <c r="F80" s="8"/>
      <c r="G80" s="23" t="s">
        <v>3983</v>
      </c>
      <c r="H80" s="43">
        <f>AVERAGE(F83:F96)</f>
        <v>-6.1576471706181454E-2</v>
      </c>
      <c r="I80" s="8"/>
      <c r="J80" s="44"/>
      <c r="K80" s="9">
        <f t="shared" si="0"/>
        <v>0</v>
      </c>
      <c r="L80" s="43"/>
    </row>
    <row r="81" spans="1:12">
      <c r="A81" s="3" t="s">
        <v>3569</v>
      </c>
      <c r="B81" s="147"/>
      <c r="C81" s="12"/>
      <c r="D81" s="16"/>
      <c r="E81" s="9"/>
      <c r="J81" s="9"/>
      <c r="K81" s="9">
        <f t="shared" si="0"/>
        <v>0</v>
      </c>
      <c r="L81" s="16"/>
    </row>
    <row r="82" spans="1:12">
      <c r="A82" s="2"/>
      <c r="B82" s="147"/>
      <c r="C82" s="12"/>
      <c r="D82" s="16"/>
      <c r="E82" s="9"/>
      <c r="J82" s="9"/>
      <c r="K82" s="9">
        <f t="shared" si="0"/>
        <v>0</v>
      </c>
    </row>
    <row r="83" spans="1:12">
      <c r="A83" s="1" t="s">
        <v>3571</v>
      </c>
      <c r="B83" s="7">
        <v>25.66</v>
      </c>
      <c r="C83" s="7">
        <v>25.66</v>
      </c>
      <c r="D83" s="16">
        <f t="shared" si="3"/>
        <v>0</v>
      </c>
      <c r="E83" s="9">
        <v>32.380000000000003</v>
      </c>
      <c r="F83" s="16">
        <f t="shared" ref="F83:F96" si="4">(C83-E83)/E83</f>
        <v>-0.20753551575046331</v>
      </c>
      <c r="J83" s="9">
        <v>15.5</v>
      </c>
      <c r="K83" s="9">
        <f t="shared" si="0"/>
        <v>21.7</v>
      </c>
      <c r="L83" s="16">
        <f>(C83-K83)/K83</f>
        <v>0.18248847926267286</v>
      </c>
    </row>
    <row r="84" spans="1:12">
      <c r="A84" s="1" t="s">
        <v>3572</v>
      </c>
      <c r="B84" s="7">
        <v>27.16</v>
      </c>
      <c r="C84" s="7">
        <v>27.16</v>
      </c>
      <c r="D84" s="16">
        <f t="shared" si="3"/>
        <v>0</v>
      </c>
      <c r="E84" s="9">
        <v>32.380000000000003</v>
      </c>
      <c r="F84" s="16">
        <f t="shared" si="4"/>
        <v>-0.16121062384187776</v>
      </c>
      <c r="J84" s="9">
        <v>15.5</v>
      </c>
      <c r="K84" s="9">
        <f t="shared" si="0"/>
        <v>21.7</v>
      </c>
      <c r="L84" s="16">
        <f t="shared" ref="L84:L96" si="5">(C84-K84)/K84</f>
        <v>0.25161290322580648</v>
      </c>
    </row>
    <row r="85" spans="1:12">
      <c r="A85" s="1" t="s">
        <v>3573</v>
      </c>
      <c r="B85" s="7">
        <v>30.82</v>
      </c>
      <c r="C85" s="7">
        <v>30.82</v>
      </c>
      <c r="D85" s="16">
        <f t="shared" si="3"/>
        <v>0</v>
      </c>
      <c r="E85" s="9">
        <v>32.380000000000003</v>
      </c>
      <c r="F85" s="16">
        <f t="shared" si="4"/>
        <v>-4.8177887584929038E-2</v>
      </c>
      <c r="J85" s="9">
        <v>15.5</v>
      </c>
      <c r="K85" s="9">
        <f t="shared" si="0"/>
        <v>21.7</v>
      </c>
      <c r="L85" s="16">
        <f t="shared" si="5"/>
        <v>0.42027649769585257</v>
      </c>
    </row>
    <row r="86" spans="1:12">
      <c r="A86" s="1" t="s">
        <v>3574</v>
      </c>
      <c r="B86" s="7">
        <v>27.95</v>
      </c>
      <c r="C86" s="7">
        <v>27.95</v>
      </c>
      <c r="D86" s="16">
        <f t="shared" si="3"/>
        <v>0</v>
      </c>
      <c r="E86" s="9">
        <v>32.380000000000003</v>
      </c>
      <c r="F86" s="16">
        <f t="shared" si="4"/>
        <v>-0.13681284743668939</v>
      </c>
      <c r="J86" s="9">
        <v>15.5</v>
      </c>
      <c r="K86" s="9">
        <f t="shared" ref="K86:K149" si="6">J86*1.4</f>
        <v>21.7</v>
      </c>
      <c r="L86" s="16">
        <f t="shared" si="5"/>
        <v>0.28801843317972353</v>
      </c>
    </row>
    <row r="87" spans="1:12">
      <c r="A87" s="1" t="s">
        <v>3575</v>
      </c>
      <c r="B87" s="7">
        <v>30.92</v>
      </c>
      <c r="C87" s="7">
        <v>30.92</v>
      </c>
      <c r="D87" s="16">
        <f t="shared" si="3"/>
        <v>0</v>
      </c>
      <c r="E87" s="9">
        <v>32.380000000000003</v>
      </c>
      <c r="F87" s="16">
        <f t="shared" si="4"/>
        <v>-4.5089561457689956E-2</v>
      </c>
      <c r="J87" s="9">
        <v>15.5</v>
      </c>
      <c r="K87" s="9">
        <f t="shared" si="6"/>
        <v>21.7</v>
      </c>
      <c r="L87" s="16">
        <f t="shared" si="5"/>
        <v>0.42488479262672824</v>
      </c>
    </row>
    <row r="88" spans="1:12">
      <c r="A88" s="1" t="s">
        <v>3576</v>
      </c>
      <c r="B88" s="7">
        <v>31.07</v>
      </c>
      <c r="C88" s="7">
        <v>31.07</v>
      </c>
      <c r="D88" s="16">
        <f t="shared" si="3"/>
        <v>0</v>
      </c>
      <c r="E88" s="9">
        <v>32.380000000000003</v>
      </c>
      <c r="F88" s="16">
        <f t="shared" si="4"/>
        <v>-4.0457072266831443E-2</v>
      </c>
      <c r="J88" s="9">
        <v>15.5</v>
      </c>
      <c r="K88" s="9">
        <f t="shared" si="6"/>
        <v>21.7</v>
      </c>
      <c r="L88" s="16">
        <f t="shared" si="5"/>
        <v>0.43179723502304151</v>
      </c>
    </row>
    <row r="89" spans="1:12">
      <c r="A89" s="1" t="s">
        <v>3578</v>
      </c>
      <c r="B89" s="7">
        <v>31.32</v>
      </c>
      <c r="C89" s="7">
        <v>31.32</v>
      </c>
      <c r="D89" s="16">
        <f t="shared" si="3"/>
        <v>0</v>
      </c>
      <c r="E89" s="9">
        <v>32.380000000000003</v>
      </c>
      <c r="F89" s="16">
        <f t="shared" si="4"/>
        <v>-3.2736256948733854E-2</v>
      </c>
      <c r="J89" s="9">
        <v>15.5</v>
      </c>
      <c r="K89" s="9">
        <f t="shared" si="6"/>
        <v>21.7</v>
      </c>
      <c r="L89" s="16">
        <f t="shared" si="5"/>
        <v>0.44331797235023046</v>
      </c>
    </row>
    <row r="90" spans="1:12">
      <c r="A90" s="1" t="s">
        <v>3577</v>
      </c>
      <c r="B90" s="7">
        <v>32.57</v>
      </c>
      <c r="C90" s="7">
        <v>32.57</v>
      </c>
      <c r="D90" s="16">
        <f t="shared" si="3"/>
        <v>0</v>
      </c>
      <c r="E90" s="9">
        <v>32.380000000000003</v>
      </c>
      <c r="F90" s="16">
        <f t="shared" si="4"/>
        <v>5.8678196417540985E-3</v>
      </c>
      <c r="J90" s="9">
        <v>15.5</v>
      </c>
      <c r="K90" s="9">
        <f t="shared" si="6"/>
        <v>21.7</v>
      </c>
      <c r="L90" s="16">
        <f t="shared" si="5"/>
        <v>0.50092165898617513</v>
      </c>
    </row>
    <row r="91" spans="1:12">
      <c r="A91" s="1" t="s">
        <v>3579</v>
      </c>
      <c r="B91" s="7">
        <v>31.62</v>
      </c>
      <c r="C91" s="7">
        <v>31.62</v>
      </c>
      <c r="D91" s="16">
        <f t="shared" si="3"/>
        <v>0</v>
      </c>
      <c r="E91" s="9">
        <v>32.380000000000003</v>
      </c>
      <c r="F91" s="16">
        <f t="shared" si="4"/>
        <v>-2.3471278567016723E-2</v>
      </c>
      <c r="J91" s="9">
        <v>15.5</v>
      </c>
      <c r="K91" s="9">
        <f t="shared" si="6"/>
        <v>21.7</v>
      </c>
      <c r="L91" s="16">
        <f t="shared" si="5"/>
        <v>0.45714285714285724</v>
      </c>
    </row>
    <row r="92" spans="1:12">
      <c r="A92" s="1" t="s">
        <v>3580</v>
      </c>
      <c r="B92" s="11">
        <v>29.72</v>
      </c>
      <c r="C92" s="11">
        <v>29.72</v>
      </c>
      <c r="D92" s="16"/>
      <c r="E92" s="9"/>
      <c r="J92" s="9"/>
      <c r="K92" s="9">
        <f t="shared" si="6"/>
        <v>0</v>
      </c>
      <c r="L92" s="16"/>
    </row>
    <row r="93" spans="1:12">
      <c r="A93" s="1" t="s">
        <v>3581</v>
      </c>
      <c r="B93" s="7">
        <v>31.62</v>
      </c>
      <c r="C93" s="7">
        <v>31.62</v>
      </c>
      <c r="D93" s="16">
        <f t="shared" si="3"/>
        <v>0</v>
      </c>
      <c r="E93" s="9">
        <v>32.380000000000003</v>
      </c>
      <c r="F93" s="16">
        <f t="shared" si="4"/>
        <v>-2.3471278567016723E-2</v>
      </c>
      <c r="J93" s="9">
        <v>15.5</v>
      </c>
      <c r="K93" s="9">
        <f t="shared" si="6"/>
        <v>21.7</v>
      </c>
      <c r="L93" s="16">
        <f t="shared" si="5"/>
        <v>0.45714285714285724</v>
      </c>
    </row>
    <row r="94" spans="1:12">
      <c r="A94" s="1" t="s">
        <v>3582</v>
      </c>
      <c r="B94" s="7">
        <v>31.32</v>
      </c>
      <c r="C94" s="7">
        <v>31.32</v>
      </c>
      <c r="D94" s="16">
        <f t="shared" si="3"/>
        <v>0</v>
      </c>
      <c r="E94" s="9">
        <v>32.380000000000003</v>
      </c>
      <c r="F94" s="16">
        <f t="shared" si="4"/>
        <v>-3.2736256948733854E-2</v>
      </c>
      <c r="J94" s="9">
        <v>15.5</v>
      </c>
      <c r="K94" s="9">
        <f t="shared" si="6"/>
        <v>21.7</v>
      </c>
      <c r="L94" s="16">
        <f t="shared" si="5"/>
        <v>0.44331797235023046</v>
      </c>
    </row>
    <row r="95" spans="1:12">
      <c r="A95" s="1" t="s">
        <v>3583</v>
      </c>
      <c r="B95" s="7">
        <v>30.97</v>
      </c>
      <c r="C95" s="7">
        <v>30.97</v>
      </c>
      <c r="D95" s="16">
        <f t="shared" si="3"/>
        <v>0</v>
      </c>
      <c r="E95" s="9">
        <v>32.380000000000003</v>
      </c>
      <c r="F95" s="16">
        <f t="shared" si="4"/>
        <v>-4.3545398394070525E-2</v>
      </c>
      <c r="J95" s="9">
        <v>15.5</v>
      </c>
      <c r="K95" s="9">
        <f t="shared" si="6"/>
        <v>21.7</v>
      </c>
      <c r="L95" s="16">
        <f t="shared" si="5"/>
        <v>0.4271889400921659</v>
      </c>
    </row>
    <row r="96" spans="1:12">
      <c r="A96" s="1" t="s">
        <v>3584</v>
      </c>
      <c r="B96" s="7">
        <v>32.020000000000003</v>
      </c>
      <c r="C96" s="7">
        <v>32.020000000000003</v>
      </c>
      <c r="D96" s="16">
        <f t="shared" si="3"/>
        <v>0</v>
      </c>
      <c r="E96" s="9">
        <v>32.380000000000003</v>
      </c>
      <c r="F96" s="16">
        <f t="shared" si="4"/>
        <v>-1.1117974058060512E-2</v>
      </c>
      <c r="J96" s="9">
        <v>15.5</v>
      </c>
      <c r="K96" s="9">
        <f t="shared" si="6"/>
        <v>21.7</v>
      </c>
      <c r="L96" s="16">
        <f t="shared" si="5"/>
        <v>0.47557603686635963</v>
      </c>
    </row>
    <row r="97" spans="1:12">
      <c r="A97" s="143"/>
      <c r="B97" s="143"/>
      <c r="C97" s="7"/>
      <c r="D97" s="16"/>
      <c r="E97" s="9"/>
      <c r="J97" s="9"/>
      <c r="K97" s="9">
        <f t="shared" si="6"/>
        <v>0</v>
      </c>
      <c r="L97" s="16"/>
    </row>
    <row r="98" spans="1:12" ht="38.25">
      <c r="A98" s="2" t="s">
        <v>3585</v>
      </c>
      <c r="B98" s="12" t="s">
        <v>3689</v>
      </c>
      <c r="C98" s="8" t="s">
        <v>3480</v>
      </c>
      <c r="D98" s="43"/>
      <c r="E98" s="44"/>
      <c r="F98" s="8"/>
      <c r="G98" s="23" t="s">
        <v>3983</v>
      </c>
      <c r="H98" s="43">
        <f>AVERAGE(F99:F101)</f>
        <v>-7.6331395690213549E-4</v>
      </c>
      <c r="I98" s="8"/>
      <c r="J98" s="44"/>
      <c r="K98" s="9">
        <f t="shared" si="6"/>
        <v>0</v>
      </c>
      <c r="L98" s="43"/>
    </row>
    <row r="99" spans="1:12">
      <c r="A99" s="1" t="s">
        <v>3784</v>
      </c>
      <c r="B99" s="7">
        <v>57.06</v>
      </c>
      <c r="C99" s="7">
        <v>54.56</v>
      </c>
      <c r="D99" s="16">
        <f t="shared" si="3"/>
        <v>-4.3813529617946018E-2</v>
      </c>
      <c r="E99" s="9">
        <v>56.77</v>
      </c>
      <c r="F99" s="16">
        <f>(C99-E99)/E99</f>
        <v>-3.8929011802008119E-2</v>
      </c>
      <c r="J99" s="9"/>
      <c r="K99" s="9">
        <f t="shared" si="6"/>
        <v>0</v>
      </c>
      <c r="L99" s="16"/>
    </row>
    <row r="100" spans="1:12">
      <c r="A100" s="1" t="s">
        <v>3588</v>
      </c>
      <c r="B100" s="7">
        <v>59.56</v>
      </c>
      <c r="C100" s="7">
        <v>57.06</v>
      </c>
      <c r="D100" s="16">
        <f t="shared" si="3"/>
        <v>-4.1974479516453993E-2</v>
      </c>
      <c r="E100" s="9">
        <v>56.77</v>
      </c>
      <c r="F100" s="16">
        <f>(C100-E100)/E100</f>
        <v>5.1083318654218625E-3</v>
      </c>
      <c r="J100" s="9"/>
      <c r="K100" s="9">
        <f t="shared" si="6"/>
        <v>0</v>
      </c>
      <c r="L100" s="16"/>
    </row>
    <row r="101" spans="1:12">
      <c r="A101" s="1" t="s">
        <v>3589</v>
      </c>
      <c r="B101" s="7">
        <v>61.06</v>
      </c>
      <c r="C101" s="7">
        <v>58.56</v>
      </c>
      <c r="D101" s="16">
        <f t="shared" si="3"/>
        <v>-4.0943334425155582E-2</v>
      </c>
      <c r="E101" s="9">
        <v>56.77</v>
      </c>
      <c r="F101" s="16">
        <f>(C101-E101)/E101</f>
        <v>3.1530738065879853E-2</v>
      </c>
      <c r="J101" s="9"/>
      <c r="K101" s="9">
        <f t="shared" si="6"/>
        <v>0</v>
      </c>
      <c r="L101" s="16"/>
    </row>
    <row r="102" spans="1:12">
      <c r="A102" s="143"/>
      <c r="B102" s="143"/>
      <c r="C102" s="7"/>
      <c r="D102" s="16"/>
      <c r="E102" s="9"/>
      <c r="J102" s="9"/>
      <c r="K102" s="9">
        <f t="shared" si="6"/>
        <v>0</v>
      </c>
      <c r="L102" s="16"/>
    </row>
    <row r="103" spans="1:12">
      <c r="A103" s="2" t="s">
        <v>3925</v>
      </c>
      <c r="B103" s="7"/>
      <c r="C103" s="31"/>
      <c r="D103" s="43"/>
      <c r="E103" s="44"/>
      <c r="F103" s="8"/>
      <c r="G103" s="23" t="s">
        <v>3984</v>
      </c>
      <c r="H103" s="8"/>
      <c r="I103" s="43">
        <f>AVERAGE(F104:F107)</f>
        <v>0</v>
      </c>
      <c r="J103" s="44"/>
      <c r="K103" s="9">
        <f t="shared" si="6"/>
        <v>0</v>
      </c>
      <c r="L103" s="43"/>
    </row>
    <row r="104" spans="1:12">
      <c r="A104" s="1" t="s">
        <v>3786</v>
      </c>
      <c r="B104" s="7">
        <v>49.7</v>
      </c>
      <c r="C104" s="7">
        <v>25.33</v>
      </c>
      <c r="D104" s="16">
        <f t="shared" si="3"/>
        <v>-0.49034205231388334</v>
      </c>
      <c r="E104" s="9">
        <v>25.33</v>
      </c>
      <c r="F104" s="16">
        <f>(C104-E104)/E104</f>
        <v>0</v>
      </c>
      <c r="J104" s="9"/>
      <c r="K104" s="9">
        <f t="shared" si="6"/>
        <v>0</v>
      </c>
      <c r="L104" s="16"/>
    </row>
    <row r="105" spans="1:12">
      <c r="A105" s="1" t="s">
        <v>3787</v>
      </c>
      <c r="B105" s="7">
        <v>50.7</v>
      </c>
      <c r="C105" s="7">
        <v>25.33</v>
      </c>
      <c r="D105" s="16">
        <f t="shared" si="3"/>
        <v>-0.50039447731755426</v>
      </c>
      <c r="E105" s="9">
        <v>25.33</v>
      </c>
      <c r="F105" s="16">
        <f>(C105-E105)/E105</f>
        <v>0</v>
      </c>
      <c r="J105" s="9"/>
      <c r="K105" s="9">
        <f t="shared" si="6"/>
        <v>0</v>
      </c>
      <c r="L105" s="16"/>
    </row>
    <row r="106" spans="1:12">
      <c r="A106" s="1" t="s">
        <v>3788</v>
      </c>
      <c r="B106" s="7">
        <v>53.01</v>
      </c>
      <c r="C106" s="7">
        <v>25.33</v>
      </c>
      <c r="D106" s="16">
        <f t="shared" si="3"/>
        <v>-0.52216562912657993</v>
      </c>
      <c r="E106" s="9">
        <v>25.33</v>
      </c>
      <c r="F106" s="16">
        <f>(C106-E106)/E106</f>
        <v>0</v>
      </c>
      <c r="J106" s="9"/>
      <c r="K106" s="9">
        <f t="shared" si="6"/>
        <v>0</v>
      </c>
      <c r="L106" s="16"/>
    </row>
    <row r="107" spans="1:12">
      <c r="A107" s="1" t="s">
        <v>3789</v>
      </c>
      <c r="B107" s="7">
        <v>56.65</v>
      </c>
      <c r="C107" s="7">
        <v>25.33</v>
      </c>
      <c r="D107" s="16">
        <f t="shared" si="3"/>
        <v>-0.55286849073256839</v>
      </c>
      <c r="E107" s="9">
        <v>25.33</v>
      </c>
      <c r="F107" s="16">
        <f>(C107-E107)/E107</f>
        <v>0</v>
      </c>
      <c r="J107" s="9"/>
      <c r="K107" s="9">
        <f t="shared" si="6"/>
        <v>0</v>
      </c>
      <c r="L107" s="16"/>
    </row>
    <row r="108" spans="1:12">
      <c r="A108" s="143"/>
      <c r="B108" s="143"/>
      <c r="C108" s="7"/>
      <c r="D108" s="16"/>
      <c r="E108" s="9"/>
      <c r="J108" s="9"/>
      <c r="K108" s="9">
        <f t="shared" si="6"/>
        <v>0</v>
      </c>
      <c r="L108" s="16"/>
    </row>
    <row r="109" spans="1:12" ht="25.5" customHeight="1">
      <c r="A109" s="2" t="s">
        <v>3592</v>
      </c>
      <c r="B109" s="147" t="s">
        <v>3510</v>
      </c>
      <c r="C109" s="149"/>
      <c r="D109" s="43"/>
      <c r="E109" s="44"/>
      <c r="F109" s="8"/>
      <c r="G109" s="23" t="s">
        <v>3983</v>
      </c>
      <c r="H109" s="43">
        <f>AVERAGE(F111:F162)</f>
        <v>-8.3609292773713248E-2</v>
      </c>
      <c r="I109" s="8"/>
      <c r="J109" s="44"/>
      <c r="K109" s="9">
        <f t="shared" si="6"/>
        <v>0</v>
      </c>
      <c r="L109" s="43"/>
    </row>
    <row r="110" spans="1:12">
      <c r="A110" s="3" t="s">
        <v>3569</v>
      </c>
      <c r="B110" s="147"/>
      <c r="C110" s="149"/>
      <c r="D110" s="43"/>
      <c r="E110" s="44"/>
      <c r="F110" s="8"/>
      <c r="G110" s="23"/>
      <c r="H110" s="8"/>
      <c r="I110" s="8"/>
      <c r="J110" s="44"/>
      <c r="K110" s="9">
        <f t="shared" si="6"/>
        <v>0</v>
      </c>
      <c r="L110" s="43"/>
    </row>
    <row r="111" spans="1:12">
      <c r="A111" s="1" t="s">
        <v>3573</v>
      </c>
      <c r="B111" s="7">
        <v>41.33</v>
      </c>
      <c r="C111" s="7">
        <v>43.08</v>
      </c>
      <c r="D111" s="16">
        <f t="shared" si="3"/>
        <v>4.2342124364868138E-2</v>
      </c>
      <c r="E111" s="9">
        <v>55.65</v>
      </c>
      <c r="F111" s="16">
        <f t="shared" ref="F111:F126" si="7">(C111-E111)/E111</f>
        <v>-0.22587601078167116</v>
      </c>
      <c r="J111" s="9">
        <v>21.78</v>
      </c>
      <c r="K111" s="9">
        <f t="shared" si="6"/>
        <v>30.492000000000001</v>
      </c>
      <c r="L111" s="16">
        <f>(C111-K111)/K111</f>
        <v>0.41282959464777635</v>
      </c>
    </row>
    <row r="112" spans="1:12">
      <c r="A112" s="1" t="s">
        <v>3574</v>
      </c>
      <c r="B112" s="7">
        <v>44.09</v>
      </c>
      <c r="C112" s="7">
        <v>45.84</v>
      </c>
      <c r="D112" s="16">
        <f t="shared" si="3"/>
        <v>3.9691540031753229E-2</v>
      </c>
      <c r="E112" s="9">
        <v>55.65</v>
      </c>
      <c r="F112" s="16">
        <f t="shared" si="7"/>
        <v>-0.1762803234501347</v>
      </c>
      <c r="J112" s="9">
        <v>21.78</v>
      </c>
      <c r="K112" s="9">
        <f t="shared" si="6"/>
        <v>30.492000000000001</v>
      </c>
      <c r="L112" s="16">
        <f t="shared" ref="L112:L162" si="8">(C112-K112)/K112</f>
        <v>0.50334513970877615</v>
      </c>
    </row>
    <row r="113" spans="1:12">
      <c r="A113" s="1" t="s">
        <v>3575</v>
      </c>
      <c r="B113" s="7">
        <v>44.62</v>
      </c>
      <c r="C113" s="7">
        <v>46.37</v>
      </c>
      <c r="D113" s="16">
        <f t="shared" si="3"/>
        <v>3.9220080681308833E-2</v>
      </c>
      <c r="E113" s="9">
        <v>55.65</v>
      </c>
      <c r="F113" s="16">
        <f t="shared" si="7"/>
        <v>-0.16675651392632526</v>
      </c>
      <c r="J113" s="9">
        <v>21.78</v>
      </c>
      <c r="K113" s="9">
        <f t="shared" si="6"/>
        <v>30.492000000000001</v>
      </c>
      <c r="L113" s="16">
        <f t="shared" si="8"/>
        <v>0.52072674799947516</v>
      </c>
    </row>
    <row r="114" spans="1:12">
      <c r="A114" s="1" t="s">
        <v>3576</v>
      </c>
      <c r="B114" s="7">
        <v>44.89</v>
      </c>
      <c r="C114" s="7">
        <v>46.64</v>
      </c>
      <c r="D114" s="16">
        <f t="shared" si="3"/>
        <v>3.8984183559812875E-2</v>
      </c>
      <c r="E114" s="9">
        <v>55.65</v>
      </c>
      <c r="F114" s="16">
        <f t="shared" si="7"/>
        <v>-0.16190476190476188</v>
      </c>
      <c r="J114" s="9">
        <v>21.78</v>
      </c>
      <c r="K114" s="9">
        <f t="shared" si="6"/>
        <v>30.492000000000001</v>
      </c>
      <c r="L114" s="16">
        <f t="shared" si="8"/>
        <v>0.5295815295815296</v>
      </c>
    </row>
    <row r="115" spans="1:12">
      <c r="A115" s="1" t="s">
        <v>3577</v>
      </c>
      <c r="B115" s="7">
        <v>45.63</v>
      </c>
      <c r="C115" s="7">
        <v>47.38</v>
      </c>
      <c r="D115" s="16">
        <f t="shared" si="3"/>
        <v>3.8351961428884501E-2</v>
      </c>
      <c r="E115" s="9">
        <v>55.65</v>
      </c>
      <c r="F115" s="16">
        <f t="shared" si="7"/>
        <v>-0.14860736747529193</v>
      </c>
      <c r="J115" s="9">
        <v>21.78</v>
      </c>
      <c r="K115" s="9">
        <f t="shared" si="6"/>
        <v>30.492000000000001</v>
      </c>
      <c r="L115" s="16">
        <f t="shared" si="8"/>
        <v>0.55385019021382664</v>
      </c>
    </row>
    <row r="116" spans="1:12">
      <c r="A116" s="1" t="s">
        <v>3579</v>
      </c>
      <c r="B116" s="7">
        <v>45.93</v>
      </c>
      <c r="C116" s="7">
        <v>47.68</v>
      </c>
      <c r="D116" s="16">
        <f t="shared" si="3"/>
        <v>3.8101458741563246E-2</v>
      </c>
      <c r="E116" s="9">
        <v>55.65</v>
      </c>
      <c r="F116" s="16">
        <f t="shared" si="7"/>
        <v>-0.14321653189577715</v>
      </c>
      <c r="J116" s="9">
        <v>21.78</v>
      </c>
      <c r="K116" s="9">
        <f t="shared" si="6"/>
        <v>30.492000000000001</v>
      </c>
      <c r="L116" s="16">
        <f t="shared" si="8"/>
        <v>0.56368883641610912</v>
      </c>
    </row>
    <row r="117" spans="1:12">
      <c r="A117" s="1" t="s">
        <v>3580</v>
      </c>
      <c r="B117" s="7">
        <v>46.1</v>
      </c>
      <c r="C117" s="7">
        <v>47.85</v>
      </c>
      <c r="D117" s="16">
        <f t="shared" si="3"/>
        <v>3.7960954446854663E-2</v>
      </c>
      <c r="E117" s="9">
        <v>55.65</v>
      </c>
      <c r="F117" s="16">
        <f t="shared" si="7"/>
        <v>-0.14016172506738539</v>
      </c>
      <c r="J117" s="9">
        <v>21.78</v>
      </c>
      <c r="K117" s="9">
        <f t="shared" si="6"/>
        <v>30.492000000000001</v>
      </c>
      <c r="L117" s="16">
        <f t="shared" si="8"/>
        <v>0.56926406926406925</v>
      </c>
    </row>
    <row r="118" spans="1:12">
      <c r="A118" s="1" t="s">
        <v>3593</v>
      </c>
      <c r="B118" s="7">
        <v>46.35</v>
      </c>
      <c r="C118" s="7">
        <v>48.1</v>
      </c>
      <c r="D118" s="16">
        <f t="shared" si="3"/>
        <v>3.7756202804746494E-2</v>
      </c>
      <c r="E118" s="9">
        <v>55.65</v>
      </c>
      <c r="F118" s="16">
        <f t="shared" si="7"/>
        <v>-0.13566936208445637</v>
      </c>
      <c r="J118" s="9">
        <v>21.78</v>
      </c>
      <c r="K118" s="9">
        <f t="shared" si="6"/>
        <v>30.492000000000001</v>
      </c>
      <c r="L118" s="16">
        <f t="shared" si="8"/>
        <v>0.57746294109930474</v>
      </c>
    </row>
    <row r="119" spans="1:12">
      <c r="A119" s="1" t="s">
        <v>3594</v>
      </c>
      <c r="B119" s="7">
        <v>46.94</v>
      </c>
      <c r="C119" s="7">
        <v>48.69</v>
      </c>
      <c r="D119" s="16">
        <f t="shared" si="3"/>
        <v>3.7281636131231359E-2</v>
      </c>
      <c r="E119" s="9">
        <v>55.65</v>
      </c>
      <c r="F119" s="16">
        <f t="shared" si="7"/>
        <v>-0.12506738544474397</v>
      </c>
      <c r="J119" s="9">
        <v>21.78</v>
      </c>
      <c r="K119" s="9">
        <f t="shared" si="6"/>
        <v>30.492000000000001</v>
      </c>
      <c r="L119" s="16">
        <f t="shared" si="8"/>
        <v>0.59681227863046038</v>
      </c>
    </row>
    <row r="120" spans="1:12">
      <c r="A120" s="1" t="s">
        <v>3595</v>
      </c>
      <c r="B120" s="7">
        <v>47.26</v>
      </c>
      <c r="C120" s="7">
        <v>49.01</v>
      </c>
      <c r="D120" s="16">
        <f t="shared" si="3"/>
        <v>3.7029200169276348E-2</v>
      </c>
      <c r="E120" s="9">
        <v>55.65</v>
      </c>
      <c r="F120" s="16">
        <f t="shared" si="7"/>
        <v>-0.1193171608265948</v>
      </c>
      <c r="J120" s="9">
        <v>21.78</v>
      </c>
      <c r="K120" s="9">
        <f t="shared" si="6"/>
        <v>30.492000000000001</v>
      </c>
      <c r="L120" s="16">
        <f t="shared" si="8"/>
        <v>0.60730683457956169</v>
      </c>
    </row>
    <row r="121" spans="1:12">
      <c r="A121" s="1" t="s">
        <v>3596</v>
      </c>
      <c r="B121" s="7">
        <v>47.61</v>
      </c>
      <c r="C121" s="7">
        <v>49.36</v>
      </c>
      <c r="D121" s="16">
        <f t="shared" si="3"/>
        <v>3.6756983826927117E-2</v>
      </c>
      <c r="E121" s="9">
        <v>55.65</v>
      </c>
      <c r="F121" s="16">
        <f t="shared" si="7"/>
        <v>-0.11302785265049414</v>
      </c>
      <c r="J121" s="9">
        <v>21.78</v>
      </c>
      <c r="K121" s="9">
        <f t="shared" si="6"/>
        <v>30.492000000000001</v>
      </c>
      <c r="L121" s="16">
        <f t="shared" si="8"/>
        <v>0.61878525514889149</v>
      </c>
    </row>
    <row r="122" spans="1:12">
      <c r="A122" s="1" t="s">
        <v>3597</v>
      </c>
      <c r="B122" s="7">
        <v>47.8</v>
      </c>
      <c r="C122" s="7">
        <v>49.55</v>
      </c>
      <c r="D122" s="16">
        <f t="shared" si="3"/>
        <v>3.6610878661087871E-2</v>
      </c>
      <c r="E122" s="9">
        <v>55.65</v>
      </c>
      <c r="F122" s="16">
        <f t="shared" si="7"/>
        <v>-0.10961365678346813</v>
      </c>
      <c r="J122" s="9">
        <v>21.78</v>
      </c>
      <c r="K122" s="9">
        <f t="shared" si="6"/>
        <v>30.492000000000001</v>
      </c>
      <c r="L122" s="16">
        <f t="shared" si="8"/>
        <v>0.62501639774367035</v>
      </c>
    </row>
    <row r="123" spans="1:12">
      <c r="A123" s="1" t="s">
        <v>3598</v>
      </c>
      <c r="B123" s="7">
        <v>48.04</v>
      </c>
      <c r="C123" s="7">
        <v>49.79</v>
      </c>
      <c r="D123" s="16">
        <f t="shared" si="3"/>
        <v>3.6427976686094925E-2</v>
      </c>
      <c r="E123" s="9">
        <v>55.65</v>
      </c>
      <c r="F123" s="16">
        <f t="shared" si="7"/>
        <v>-0.10530098831985624</v>
      </c>
      <c r="J123" s="9">
        <v>21.78</v>
      </c>
      <c r="K123" s="9">
        <f t="shared" si="6"/>
        <v>30.492000000000001</v>
      </c>
      <c r="L123" s="16">
        <f t="shared" si="8"/>
        <v>0.63288731470549642</v>
      </c>
    </row>
    <row r="124" spans="1:12">
      <c r="A124" s="1" t="s">
        <v>3599</v>
      </c>
      <c r="B124" s="7">
        <v>49.68</v>
      </c>
      <c r="C124" s="7">
        <v>51.43</v>
      </c>
      <c r="D124" s="16">
        <f t="shared" si="3"/>
        <v>3.5225442834138483E-2</v>
      </c>
      <c r="E124" s="9">
        <v>55.65</v>
      </c>
      <c r="F124" s="16">
        <f t="shared" si="7"/>
        <v>-7.583108715184185E-2</v>
      </c>
      <c r="J124" s="9">
        <v>21.78</v>
      </c>
      <c r="K124" s="9">
        <f t="shared" si="6"/>
        <v>30.492000000000001</v>
      </c>
      <c r="L124" s="16">
        <f t="shared" si="8"/>
        <v>0.68667191394464111</v>
      </c>
    </row>
    <row r="125" spans="1:12">
      <c r="A125" s="1" t="s">
        <v>3600</v>
      </c>
      <c r="B125" s="7">
        <v>50.49</v>
      </c>
      <c r="C125" s="7">
        <v>52.24</v>
      </c>
      <c r="D125" s="16">
        <f t="shared" si="3"/>
        <v>3.4660328777975834E-2</v>
      </c>
      <c r="E125" s="9">
        <v>55.65</v>
      </c>
      <c r="F125" s="16">
        <f t="shared" si="7"/>
        <v>-6.1275831087151782E-2</v>
      </c>
      <c r="J125" s="9">
        <v>21.78</v>
      </c>
      <c r="K125" s="9">
        <f t="shared" si="6"/>
        <v>30.492000000000001</v>
      </c>
      <c r="L125" s="16">
        <f t="shared" si="8"/>
        <v>0.7132362586908042</v>
      </c>
    </row>
    <row r="126" spans="1:12">
      <c r="A126" s="1" t="s">
        <v>3601</v>
      </c>
      <c r="B126" s="7">
        <v>49.68</v>
      </c>
      <c r="C126" s="7">
        <v>51.43</v>
      </c>
      <c r="D126" s="16">
        <f t="shared" si="3"/>
        <v>3.5225442834138483E-2</v>
      </c>
      <c r="E126" s="9">
        <v>55.65</v>
      </c>
      <c r="F126" s="16">
        <f t="shared" si="7"/>
        <v>-7.583108715184185E-2</v>
      </c>
      <c r="J126" s="9">
        <v>21.78</v>
      </c>
      <c r="K126" s="9">
        <f t="shared" si="6"/>
        <v>30.492000000000001</v>
      </c>
      <c r="L126" s="16">
        <f t="shared" si="8"/>
        <v>0.68667191394464111</v>
      </c>
    </row>
    <row r="127" spans="1:12">
      <c r="A127" s="1" t="s">
        <v>3602</v>
      </c>
      <c r="B127" s="11" t="s">
        <v>3534</v>
      </c>
      <c r="C127" s="11" t="s">
        <v>3534</v>
      </c>
      <c r="D127" s="16"/>
      <c r="E127" s="9"/>
      <c r="J127" s="9"/>
      <c r="K127" s="9">
        <f t="shared" si="6"/>
        <v>0</v>
      </c>
      <c r="L127" s="16"/>
    </row>
    <row r="128" spans="1:12">
      <c r="A128" s="1" t="s">
        <v>3603</v>
      </c>
      <c r="B128" s="11" t="s">
        <v>3534</v>
      </c>
      <c r="C128" s="11" t="s">
        <v>3534</v>
      </c>
      <c r="D128" s="16"/>
      <c r="E128" s="9"/>
      <c r="J128" s="9"/>
      <c r="K128" s="9">
        <f t="shared" si="6"/>
        <v>0</v>
      </c>
      <c r="L128" s="16"/>
    </row>
    <row r="129" spans="1:12">
      <c r="A129" s="143"/>
      <c r="B129" s="143"/>
      <c r="C129" s="7"/>
      <c r="D129" s="16"/>
      <c r="E129" s="9"/>
      <c r="J129" s="9"/>
      <c r="K129" s="9">
        <f t="shared" si="6"/>
        <v>0</v>
      </c>
      <c r="L129" s="16"/>
    </row>
    <row r="130" spans="1:12" ht="25.5" customHeight="1">
      <c r="A130" s="2" t="s">
        <v>3691</v>
      </c>
      <c r="B130" s="147" t="s">
        <v>3510</v>
      </c>
      <c r="C130" s="147" t="s">
        <v>3510</v>
      </c>
      <c r="D130" s="16"/>
      <c r="E130" s="9"/>
      <c r="J130" s="9"/>
      <c r="K130" s="9">
        <f t="shared" si="6"/>
        <v>0</v>
      </c>
      <c r="L130" s="16"/>
    </row>
    <row r="131" spans="1:12">
      <c r="A131" s="3" t="s">
        <v>3569</v>
      </c>
      <c r="B131" s="147"/>
      <c r="C131" s="147"/>
      <c r="D131" s="16"/>
      <c r="E131" s="9"/>
      <c r="J131" s="9"/>
      <c r="K131" s="9">
        <f t="shared" si="6"/>
        <v>0</v>
      </c>
      <c r="L131" s="16"/>
    </row>
    <row r="132" spans="1:12">
      <c r="A132" s="1" t="s">
        <v>3573</v>
      </c>
      <c r="B132" s="7">
        <v>56.63</v>
      </c>
      <c r="C132" s="7">
        <v>58.38</v>
      </c>
      <c r="D132" s="16">
        <f t="shared" si="3"/>
        <v>3.0902348578491962E-2</v>
      </c>
      <c r="E132" s="9">
        <v>55.65</v>
      </c>
      <c r="F132" s="16">
        <f t="shared" ref="F132:F143" si="9">(C132-E132)/E132</f>
        <v>4.9056603773584978E-2</v>
      </c>
      <c r="J132" s="9">
        <v>21.78</v>
      </c>
      <c r="K132" s="9">
        <f t="shared" si="6"/>
        <v>30.492000000000001</v>
      </c>
      <c r="L132" s="16">
        <f t="shared" si="8"/>
        <v>0.91460055096418735</v>
      </c>
    </row>
    <row r="133" spans="1:12">
      <c r="A133" s="1" t="s">
        <v>3605</v>
      </c>
      <c r="B133" s="7">
        <v>50.46</v>
      </c>
      <c r="C133" s="7">
        <v>52.21</v>
      </c>
      <c r="D133" s="16">
        <f t="shared" si="3"/>
        <v>3.4680935394371781E-2</v>
      </c>
      <c r="E133" s="9">
        <v>55.65</v>
      </c>
      <c r="F133" s="16">
        <f t="shared" si="9"/>
        <v>-6.1814914645103282E-2</v>
      </c>
      <c r="J133" s="9">
        <v>21.78</v>
      </c>
      <c r="K133" s="9">
        <f t="shared" si="6"/>
        <v>30.492000000000001</v>
      </c>
      <c r="L133" s="16">
        <f t="shared" si="8"/>
        <v>0.71225239407057583</v>
      </c>
    </row>
    <row r="134" spans="1:12">
      <c r="A134" s="1" t="s">
        <v>3606</v>
      </c>
      <c r="B134" s="7">
        <v>48.5</v>
      </c>
      <c r="C134" s="7">
        <v>50.25</v>
      </c>
      <c r="D134" s="16">
        <f t="shared" ref="D134:D197" si="10">(C134-B134)/B134</f>
        <v>3.608247422680412E-2</v>
      </c>
      <c r="E134" s="9">
        <v>55.65</v>
      </c>
      <c r="F134" s="16">
        <f t="shared" si="9"/>
        <v>-9.7035040431266817E-2</v>
      </c>
      <c r="J134" s="9">
        <v>21.78</v>
      </c>
      <c r="K134" s="9">
        <f t="shared" si="6"/>
        <v>30.492000000000001</v>
      </c>
      <c r="L134" s="16">
        <f t="shared" si="8"/>
        <v>0.64797323888232972</v>
      </c>
    </row>
    <row r="135" spans="1:12">
      <c r="A135" s="1" t="s">
        <v>3575</v>
      </c>
      <c r="B135" s="7">
        <v>55.12</v>
      </c>
      <c r="C135" s="7">
        <v>56.87</v>
      </c>
      <c r="D135" s="16">
        <f t="shared" si="10"/>
        <v>3.17489114658926E-2</v>
      </c>
      <c r="E135" s="9">
        <v>55.65</v>
      </c>
      <c r="F135" s="16">
        <f t="shared" si="9"/>
        <v>2.1922731356693603E-2</v>
      </c>
      <c r="J135" s="9">
        <v>21.78</v>
      </c>
      <c r="K135" s="9">
        <f t="shared" si="6"/>
        <v>30.492000000000001</v>
      </c>
      <c r="L135" s="16">
        <f t="shared" si="8"/>
        <v>0.86507936507936489</v>
      </c>
    </row>
    <row r="136" spans="1:12">
      <c r="A136" s="1" t="s">
        <v>3607</v>
      </c>
      <c r="B136" s="7">
        <v>50.21</v>
      </c>
      <c r="C136" s="7">
        <v>51.96</v>
      </c>
      <c r="D136" s="16">
        <f t="shared" si="10"/>
        <v>3.4853614817765388E-2</v>
      </c>
      <c r="E136" s="9">
        <v>55.65</v>
      </c>
      <c r="F136" s="16">
        <f t="shared" si="9"/>
        <v>-6.6307277628032305E-2</v>
      </c>
      <c r="J136" s="9">
        <v>21.78</v>
      </c>
      <c r="K136" s="9">
        <f t="shared" si="6"/>
        <v>30.492000000000001</v>
      </c>
      <c r="L136" s="16">
        <f t="shared" si="8"/>
        <v>0.70405352223534035</v>
      </c>
    </row>
    <row r="137" spans="1:12">
      <c r="A137" s="1" t="s">
        <v>3608</v>
      </c>
      <c r="B137" s="7">
        <v>48.29</v>
      </c>
      <c r="C137" s="7">
        <v>50.04</v>
      </c>
      <c r="D137" s="16">
        <f t="shared" si="10"/>
        <v>3.6239387036653553E-2</v>
      </c>
      <c r="E137" s="9">
        <v>55.65</v>
      </c>
      <c r="F137" s="16">
        <f t="shared" si="9"/>
        <v>-0.10080862533692722</v>
      </c>
      <c r="J137" s="9">
        <v>21.78</v>
      </c>
      <c r="K137" s="9">
        <f t="shared" si="6"/>
        <v>30.492000000000001</v>
      </c>
      <c r="L137" s="16">
        <f t="shared" si="8"/>
        <v>0.64108618654073191</v>
      </c>
    </row>
    <row r="138" spans="1:12">
      <c r="A138" s="1" t="s">
        <v>3576</v>
      </c>
      <c r="B138" s="7">
        <v>53.88</v>
      </c>
      <c r="C138" s="7">
        <v>55.63</v>
      </c>
      <c r="D138" s="16">
        <f t="shared" si="10"/>
        <v>3.2479584261321456E-2</v>
      </c>
      <c r="E138" s="9">
        <v>55.65</v>
      </c>
      <c r="F138" s="16">
        <f t="shared" si="9"/>
        <v>-3.5938903863425015E-4</v>
      </c>
      <c r="J138" s="9">
        <v>21.78</v>
      </c>
      <c r="K138" s="9">
        <f t="shared" si="6"/>
        <v>30.492000000000001</v>
      </c>
      <c r="L138" s="16">
        <f t="shared" si="8"/>
        <v>0.8244129607765972</v>
      </c>
    </row>
    <row r="139" spans="1:12">
      <c r="A139" s="1" t="s">
        <v>3609</v>
      </c>
      <c r="B139" s="7">
        <v>49.99</v>
      </c>
      <c r="C139" s="7">
        <v>51.74</v>
      </c>
      <c r="D139" s="16">
        <f t="shared" si="10"/>
        <v>3.5007001400280055E-2</v>
      </c>
      <c r="E139" s="9">
        <v>55.65</v>
      </c>
      <c r="F139" s="16">
        <f t="shared" si="9"/>
        <v>-7.026055705300982E-2</v>
      </c>
      <c r="J139" s="9">
        <v>21.78</v>
      </c>
      <c r="K139" s="9">
        <f t="shared" si="6"/>
        <v>30.492000000000001</v>
      </c>
      <c r="L139" s="16">
        <f t="shared" si="8"/>
        <v>0.69683851502033323</v>
      </c>
    </row>
    <row r="140" spans="1:12">
      <c r="A140" s="1" t="s">
        <v>3610</v>
      </c>
      <c r="B140" s="7">
        <v>48.07</v>
      </c>
      <c r="C140" s="7">
        <v>49.82</v>
      </c>
      <c r="D140" s="16">
        <f t="shared" si="10"/>
        <v>3.6405242354899107E-2</v>
      </c>
      <c r="E140" s="9">
        <v>55.65</v>
      </c>
      <c r="F140" s="16">
        <f t="shared" si="9"/>
        <v>-0.10476190476190474</v>
      </c>
      <c r="J140" s="9">
        <v>21.78</v>
      </c>
      <c r="K140" s="9">
        <f t="shared" si="6"/>
        <v>30.492000000000001</v>
      </c>
      <c r="L140" s="16">
        <f t="shared" si="8"/>
        <v>0.63387117932572479</v>
      </c>
    </row>
    <row r="141" spans="1:12">
      <c r="A141" s="1" t="s">
        <v>3611</v>
      </c>
      <c r="B141" s="7">
        <v>49.66</v>
      </c>
      <c r="C141" s="7">
        <v>51.41</v>
      </c>
      <c r="D141" s="16">
        <f t="shared" si="10"/>
        <v>3.5239629480467181E-2</v>
      </c>
      <c r="E141" s="9">
        <v>55.65</v>
      </c>
      <c r="F141" s="16">
        <f t="shared" si="9"/>
        <v>-7.6190476190476225E-2</v>
      </c>
      <c r="J141" s="9">
        <v>21.78</v>
      </c>
      <c r="K141" s="9">
        <f t="shared" si="6"/>
        <v>30.492000000000001</v>
      </c>
      <c r="L141" s="16">
        <f t="shared" si="8"/>
        <v>0.68601600419782227</v>
      </c>
    </row>
    <row r="142" spans="1:12">
      <c r="A142" s="1" t="s">
        <v>3577</v>
      </c>
      <c r="B142" s="7">
        <v>52.15</v>
      </c>
      <c r="C142" s="7">
        <v>53.9</v>
      </c>
      <c r="D142" s="16">
        <f t="shared" si="10"/>
        <v>3.3557046979865772E-2</v>
      </c>
      <c r="E142" s="9">
        <v>55.65</v>
      </c>
      <c r="F142" s="16">
        <f t="shared" si="9"/>
        <v>-3.1446540880503145E-2</v>
      </c>
      <c r="J142" s="9">
        <v>21.78</v>
      </c>
      <c r="K142" s="9">
        <f t="shared" si="6"/>
        <v>30.492000000000001</v>
      </c>
      <c r="L142" s="16">
        <f t="shared" si="8"/>
        <v>0.76767676767676762</v>
      </c>
    </row>
    <row r="143" spans="1:12">
      <c r="A143" s="1" t="s">
        <v>3579</v>
      </c>
      <c r="B143" s="7">
        <v>51.05</v>
      </c>
      <c r="C143" s="7">
        <v>52.8</v>
      </c>
      <c r="D143" s="16">
        <f t="shared" si="10"/>
        <v>3.4280117531831543E-2</v>
      </c>
      <c r="E143" s="9">
        <v>55.65</v>
      </c>
      <c r="F143" s="16">
        <f t="shared" si="9"/>
        <v>-5.1212938005390861E-2</v>
      </c>
      <c r="J143" s="9">
        <v>21.78</v>
      </c>
      <c r="K143" s="9">
        <f t="shared" si="6"/>
        <v>30.492000000000001</v>
      </c>
      <c r="L143" s="16">
        <f t="shared" si="8"/>
        <v>0.73160173160173148</v>
      </c>
    </row>
    <row r="144" spans="1:12">
      <c r="A144" s="1" t="s">
        <v>3602</v>
      </c>
      <c r="B144" s="11" t="s">
        <v>3534</v>
      </c>
      <c r="C144" s="11" t="s">
        <v>3534</v>
      </c>
      <c r="D144" s="16"/>
      <c r="E144" s="9"/>
      <c r="J144" s="9"/>
      <c r="K144" s="9">
        <f t="shared" si="6"/>
        <v>0</v>
      </c>
      <c r="L144" s="16"/>
    </row>
    <row r="145" spans="1:12">
      <c r="A145" s="1" t="s">
        <v>3612</v>
      </c>
      <c r="B145" s="7"/>
      <c r="C145" s="7"/>
      <c r="D145" s="16"/>
      <c r="E145" s="9"/>
      <c r="J145" s="9"/>
      <c r="K145" s="9">
        <f t="shared" si="6"/>
        <v>0</v>
      </c>
      <c r="L145" s="16"/>
    </row>
    <row r="146" spans="1:12">
      <c r="A146" s="143"/>
      <c r="B146" s="143"/>
      <c r="C146" s="7"/>
      <c r="D146" s="16"/>
      <c r="E146" s="9"/>
      <c r="J146" s="9"/>
      <c r="K146" s="9">
        <f t="shared" si="6"/>
        <v>0</v>
      </c>
      <c r="L146" s="16"/>
    </row>
    <row r="147" spans="1:12" ht="25.5" customHeight="1">
      <c r="A147" s="2" t="s">
        <v>3693</v>
      </c>
      <c r="B147" s="147" t="s">
        <v>3510</v>
      </c>
      <c r="C147" s="147" t="s">
        <v>3510</v>
      </c>
      <c r="D147" s="16"/>
      <c r="E147" s="9"/>
      <c r="J147" s="9"/>
      <c r="K147" s="9">
        <f t="shared" si="6"/>
        <v>0</v>
      </c>
      <c r="L147" s="16"/>
    </row>
    <row r="148" spans="1:12">
      <c r="A148" s="3" t="s">
        <v>3569</v>
      </c>
      <c r="B148" s="147"/>
      <c r="C148" s="147"/>
      <c r="D148" s="16"/>
      <c r="E148" s="9"/>
      <c r="J148" s="9"/>
      <c r="K148" s="9">
        <f t="shared" si="6"/>
        <v>0</v>
      </c>
      <c r="L148" s="16"/>
    </row>
    <row r="149" spans="1:12">
      <c r="A149" s="1" t="s">
        <v>3573</v>
      </c>
      <c r="B149" s="7">
        <v>56.1</v>
      </c>
      <c r="C149" s="7">
        <v>57.85</v>
      </c>
      <c r="D149" s="16">
        <f t="shared" si="10"/>
        <v>3.1194295900178252E-2</v>
      </c>
      <c r="E149" s="9">
        <v>55.65</v>
      </c>
      <c r="F149" s="16">
        <f t="shared" ref="F149:F162" si="11">(C149-E149)/E149</f>
        <v>3.9532794249775433E-2</v>
      </c>
      <c r="J149" s="9">
        <v>21.78</v>
      </c>
      <c r="K149" s="9">
        <f t="shared" si="6"/>
        <v>30.492000000000001</v>
      </c>
      <c r="L149" s="16">
        <f t="shared" si="8"/>
        <v>0.89721894267348812</v>
      </c>
    </row>
    <row r="150" spans="1:12">
      <c r="A150" s="1" t="s">
        <v>3605</v>
      </c>
      <c r="B150" s="7">
        <v>50.64</v>
      </c>
      <c r="C150" s="7">
        <v>52.39</v>
      </c>
      <c r="D150" s="16">
        <f t="shared" si="10"/>
        <v>3.4557661927330174E-2</v>
      </c>
      <c r="E150" s="9">
        <v>55.65</v>
      </c>
      <c r="F150" s="16">
        <f t="shared" si="11"/>
        <v>-5.8580413297394399E-2</v>
      </c>
      <c r="J150" s="9">
        <v>21.78</v>
      </c>
      <c r="K150" s="9">
        <f t="shared" ref="K150:K213" si="12">J150*1.4</f>
        <v>30.492000000000001</v>
      </c>
      <c r="L150" s="16">
        <f t="shared" si="8"/>
        <v>0.71815558179194539</v>
      </c>
    </row>
    <row r="151" spans="1:12">
      <c r="A151" s="1" t="s">
        <v>3606</v>
      </c>
      <c r="B151" s="7">
        <v>48.72</v>
      </c>
      <c r="C151" s="7">
        <v>50.47</v>
      </c>
      <c r="D151" s="16">
        <f t="shared" si="10"/>
        <v>3.5919540229885055E-2</v>
      </c>
      <c r="E151" s="9">
        <v>55.65</v>
      </c>
      <c r="F151" s="16">
        <f t="shared" si="11"/>
        <v>-9.3081761006289301E-2</v>
      </c>
      <c r="J151" s="9">
        <v>21.78</v>
      </c>
      <c r="K151" s="9">
        <f t="shared" si="12"/>
        <v>30.492000000000001</v>
      </c>
      <c r="L151" s="16">
        <f t="shared" si="8"/>
        <v>0.65518824609733695</v>
      </c>
    </row>
    <row r="152" spans="1:12">
      <c r="A152" s="1" t="s">
        <v>3575</v>
      </c>
      <c r="B152" s="7">
        <v>54.56</v>
      </c>
      <c r="C152" s="7">
        <v>56.31</v>
      </c>
      <c r="D152" s="16">
        <f t="shared" si="10"/>
        <v>3.2074780058651026E-2</v>
      </c>
      <c r="E152" s="9">
        <v>55.65</v>
      </c>
      <c r="F152" s="16">
        <f t="shared" si="11"/>
        <v>1.1859838274932682E-2</v>
      </c>
      <c r="J152" s="9">
        <v>21.78</v>
      </c>
      <c r="K152" s="9">
        <f t="shared" si="12"/>
        <v>30.492000000000001</v>
      </c>
      <c r="L152" s="16">
        <f t="shared" si="8"/>
        <v>0.84671389216843762</v>
      </c>
    </row>
    <row r="153" spans="1:12">
      <c r="A153" s="1" t="s">
        <v>3607</v>
      </c>
      <c r="B153" s="7">
        <v>50.43</v>
      </c>
      <c r="C153" s="7">
        <v>52.18</v>
      </c>
      <c r="D153" s="16">
        <f t="shared" si="10"/>
        <v>3.4701566527860397E-2</v>
      </c>
      <c r="E153" s="9">
        <v>55.65</v>
      </c>
      <c r="F153" s="16">
        <f t="shared" si="11"/>
        <v>-6.2353998203054789E-2</v>
      </c>
      <c r="J153" s="9">
        <v>21.78</v>
      </c>
      <c r="K153" s="9">
        <f t="shared" si="12"/>
        <v>30.492000000000001</v>
      </c>
      <c r="L153" s="16">
        <f t="shared" si="8"/>
        <v>0.71126852945034758</v>
      </c>
    </row>
    <row r="154" spans="1:12">
      <c r="A154" s="1" t="s">
        <v>3608</v>
      </c>
      <c r="B154" s="7">
        <v>48.52</v>
      </c>
      <c r="C154" s="7">
        <v>50.27</v>
      </c>
      <c r="D154" s="16">
        <f t="shared" si="10"/>
        <v>3.6067600989282765E-2</v>
      </c>
      <c r="E154" s="9">
        <v>55.65</v>
      </c>
      <c r="F154" s="16">
        <f t="shared" si="11"/>
        <v>-9.6675651392632442E-2</v>
      </c>
      <c r="J154" s="9">
        <v>21.78</v>
      </c>
      <c r="K154" s="9">
        <f t="shared" si="12"/>
        <v>30.492000000000001</v>
      </c>
      <c r="L154" s="16">
        <f t="shared" si="8"/>
        <v>0.64862914862914867</v>
      </c>
    </row>
    <row r="155" spans="1:12">
      <c r="A155" s="1" t="s">
        <v>3576</v>
      </c>
      <c r="B155" s="7">
        <v>53.11</v>
      </c>
      <c r="C155" s="7">
        <v>54.86</v>
      </c>
      <c r="D155" s="16">
        <f t="shared" si="10"/>
        <v>3.2950480135567693E-2</v>
      </c>
      <c r="E155" s="9">
        <v>55.65</v>
      </c>
      <c r="F155" s="16">
        <f t="shared" si="11"/>
        <v>-1.419586702605569E-2</v>
      </c>
      <c r="J155" s="9">
        <v>21.78</v>
      </c>
      <c r="K155" s="9">
        <f t="shared" si="12"/>
        <v>30.492000000000001</v>
      </c>
      <c r="L155" s="16">
        <f t="shared" si="8"/>
        <v>0.79916043552407179</v>
      </c>
    </row>
    <row r="156" spans="1:12">
      <c r="A156" s="1" t="s">
        <v>3609</v>
      </c>
      <c r="B156" s="7">
        <v>50.21</v>
      </c>
      <c r="C156" s="7">
        <v>51.96</v>
      </c>
      <c r="D156" s="16">
        <f t="shared" si="10"/>
        <v>3.4853614817765388E-2</v>
      </c>
      <c r="E156" s="9">
        <v>55.65</v>
      </c>
      <c r="F156" s="16">
        <f t="shared" si="11"/>
        <v>-6.6307277628032305E-2</v>
      </c>
      <c r="J156" s="9">
        <v>21.78</v>
      </c>
      <c r="K156" s="9">
        <f t="shared" si="12"/>
        <v>30.492000000000001</v>
      </c>
      <c r="L156" s="16">
        <f t="shared" si="8"/>
        <v>0.70405352223534035</v>
      </c>
    </row>
    <row r="157" spans="1:12">
      <c r="A157" s="1" t="s">
        <v>3610</v>
      </c>
      <c r="B157" s="7">
        <v>48.29</v>
      </c>
      <c r="C157" s="7">
        <v>50.04</v>
      </c>
      <c r="D157" s="16">
        <f t="shared" si="10"/>
        <v>3.6239387036653553E-2</v>
      </c>
      <c r="E157" s="9">
        <v>55.65</v>
      </c>
      <c r="F157" s="16">
        <f t="shared" si="11"/>
        <v>-0.10080862533692722</v>
      </c>
      <c r="J157" s="9">
        <v>21.78</v>
      </c>
      <c r="K157" s="9">
        <f t="shared" si="12"/>
        <v>30.492000000000001</v>
      </c>
      <c r="L157" s="16">
        <f t="shared" si="8"/>
        <v>0.64108618654073191</v>
      </c>
    </row>
    <row r="158" spans="1:12">
      <c r="A158" s="1" t="s">
        <v>3577</v>
      </c>
      <c r="B158" s="7">
        <v>51.6</v>
      </c>
      <c r="C158" s="7">
        <v>53.35</v>
      </c>
      <c r="D158" s="16">
        <f t="shared" si="10"/>
        <v>3.391472868217054E-2</v>
      </c>
      <c r="E158" s="9">
        <v>55.65</v>
      </c>
      <c r="F158" s="16">
        <f t="shared" si="11"/>
        <v>-4.132973944294694E-2</v>
      </c>
      <c r="J158" s="9">
        <v>21.78</v>
      </c>
      <c r="K158" s="9">
        <f t="shared" si="12"/>
        <v>30.492000000000001</v>
      </c>
      <c r="L158" s="16">
        <f t="shared" si="8"/>
        <v>0.74963924963924966</v>
      </c>
    </row>
    <row r="159" spans="1:12">
      <c r="A159" s="1" t="s">
        <v>3579</v>
      </c>
      <c r="B159" s="7">
        <v>50.49</v>
      </c>
      <c r="C159" s="7">
        <v>52.24</v>
      </c>
      <c r="D159" s="16">
        <f t="shared" si="10"/>
        <v>3.4660328777975834E-2</v>
      </c>
      <c r="E159" s="9">
        <v>55.65</v>
      </c>
      <c r="F159" s="16">
        <f t="shared" si="11"/>
        <v>-6.1275831087151782E-2</v>
      </c>
      <c r="J159" s="9">
        <v>21.78</v>
      </c>
      <c r="K159" s="9">
        <f t="shared" si="12"/>
        <v>30.492000000000001</v>
      </c>
      <c r="L159" s="16">
        <f t="shared" si="8"/>
        <v>0.7132362586908042</v>
      </c>
    </row>
    <row r="160" spans="1:12">
      <c r="A160" s="1" t="s">
        <v>3580</v>
      </c>
      <c r="B160" s="7">
        <v>49.38</v>
      </c>
      <c r="C160" s="7">
        <v>51.13</v>
      </c>
      <c r="D160" s="16">
        <f t="shared" si="10"/>
        <v>3.5439449169704332E-2</v>
      </c>
      <c r="E160" s="9">
        <v>55.65</v>
      </c>
      <c r="F160" s="16">
        <f t="shared" si="11"/>
        <v>-8.122192273135663E-2</v>
      </c>
      <c r="J160" s="9">
        <v>21.78</v>
      </c>
      <c r="K160" s="9">
        <f t="shared" si="12"/>
        <v>30.492000000000001</v>
      </c>
      <c r="L160" s="16">
        <f t="shared" si="8"/>
        <v>0.67683326774235864</v>
      </c>
    </row>
    <row r="161" spans="1:12">
      <c r="A161" s="1" t="s">
        <v>3593</v>
      </c>
      <c r="B161" s="7">
        <v>48.42</v>
      </c>
      <c r="C161" s="7">
        <v>50.17</v>
      </c>
      <c r="D161" s="16">
        <f t="shared" si="10"/>
        <v>3.6142090045435768E-2</v>
      </c>
      <c r="E161" s="9">
        <v>55.65</v>
      </c>
      <c r="F161" s="16">
        <f t="shared" si="11"/>
        <v>-9.8472596585804081E-2</v>
      </c>
      <c r="J161" s="9">
        <v>21.78</v>
      </c>
      <c r="K161" s="9">
        <f t="shared" si="12"/>
        <v>30.492000000000001</v>
      </c>
      <c r="L161" s="16">
        <f t="shared" si="8"/>
        <v>0.64534959989505447</v>
      </c>
    </row>
    <row r="162" spans="1:12">
      <c r="A162" s="1" t="s">
        <v>3594</v>
      </c>
      <c r="B162" s="7">
        <v>47.46</v>
      </c>
      <c r="C162" s="7">
        <v>49.21</v>
      </c>
      <c r="D162" s="16">
        <f t="shared" si="10"/>
        <v>3.687315634218289E-2</v>
      </c>
      <c r="E162" s="9">
        <v>55.65</v>
      </c>
      <c r="F162" s="16">
        <f t="shared" si="11"/>
        <v>-0.11572327044025153</v>
      </c>
      <c r="J162" s="9">
        <v>21.78</v>
      </c>
      <c r="K162" s="9">
        <f t="shared" si="12"/>
        <v>30.492000000000001</v>
      </c>
      <c r="L162" s="16">
        <f t="shared" si="8"/>
        <v>0.6138659320477502</v>
      </c>
    </row>
    <row r="163" spans="1:12">
      <c r="A163" s="1" t="s">
        <v>3614</v>
      </c>
      <c r="B163" s="11" t="s">
        <v>3534</v>
      </c>
      <c r="C163" s="11" t="s">
        <v>3534</v>
      </c>
      <c r="D163" s="16"/>
      <c r="E163" s="9"/>
      <c r="J163" s="9"/>
      <c r="K163" s="9">
        <f t="shared" si="12"/>
        <v>0</v>
      </c>
      <c r="L163" s="16"/>
    </row>
    <row r="164" spans="1:12">
      <c r="A164" s="1" t="s">
        <v>3615</v>
      </c>
      <c r="B164" s="11" t="s">
        <v>3534</v>
      </c>
      <c r="C164" s="11" t="s">
        <v>3534</v>
      </c>
      <c r="D164" s="16"/>
      <c r="E164" s="9"/>
      <c r="J164" s="9"/>
      <c r="K164" s="9">
        <f t="shared" si="12"/>
        <v>0</v>
      </c>
      <c r="L164" s="16"/>
    </row>
    <row r="165" spans="1:12">
      <c r="A165" s="143"/>
      <c r="B165" s="143"/>
      <c r="C165" s="7"/>
      <c r="D165" s="16"/>
      <c r="E165" s="9"/>
      <c r="J165" s="9"/>
      <c r="K165" s="9">
        <f t="shared" si="12"/>
        <v>0</v>
      </c>
      <c r="L165" s="16"/>
    </row>
    <row r="166" spans="1:12" ht="12.75" customHeight="1">
      <c r="A166" s="144" t="s">
        <v>3616</v>
      </c>
      <c r="B166" s="144"/>
      <c r="C166" s="31"/>
      <c r="D166" s="43"/>
      <c r="E166" s="44"/>
      <c r="F166" s="8"/>
      <c r="G166" s="23" t="s">
        <v>3983</v>
      </c>
      <c r="H166" s="43">
        <f>AVERAGE(F167:F174)</f>
        <v>2.2112462006079137E-2</v>
      </c>
      <c r="I166" s="8"/>
      <c r="J166" s="44"/>
      <c r="K166" s="9">
        <f t="shared" si="12"/>
        <v>0</v>
      </c>
      <c r="L166" s="43"/>
    </row>
    <row r="167" spans="1:12">
      <c r="A167" s="1" t="s">
        <v>3617</v>
      </c>
      <c r="B167" s="7">
        <v>32.74</v>
      </c>
      <c r="C167" s="7">
        <v>32.74</v>
      </c>
      <c r="D167" s="16">
        <f t="shared" si="10"/>
        <v>0</v>
      </c>
      <c r="E167" s="9">
        <v>32.9</v>
      </c>
      <c r="F167" s="16">
        <f t="shared" ref="F167:F174" si="13">(C167-E167)/E167</f>
        <v>-4.8632218844983765E-3</v>
      </c>
      <c r="J167" s="9"/>
      <c r="K167" s="9">
        <f t="shared" si="12"/>
        <v>0</v>
      </c>
      <c r="L167" s="16"/>
    </row>
    <row r="168" spans="1:12">
      <c r="A168" s="1" t="s">
        <v>3618</v>
      </c>
      <c r="B168" s="7">
        <v>33.590000000000003</v>
      </c>
      <c r="C168" s="7">
        <v>33.590000000000003</v>
      </c>
      <c r="D168" s="16">
        <f t="shared" si="10"/>
        <v>0</v>
      </c>
      <c r="E168" s="9">
        <v>32.9</v>
      </c>
      <c r="F168" s="16">
        <f t="shared" si="13"/>
        <v>2.0972644376899843E-2</v>
      </c>
      <c r="J168" s="9"/>
      <c r="K168" s="9">
        <f t="shared" si="12"/>
        <v>0</v>
      </c>
      <c r="L168" s="16"/>
    </row>
    <row r="169" spans="1:12">
      <c r="A169" s="1" t="s">
        <v>3619</v>
      </c>
      <c r="B169" s="7">
        <v>33.24</v>
      </c>
      <c r="C169" s="7">
        <v>33.24</v>
      </c>
      <c r="D169" s="16">
        <f t="shared" si="10"/>
        <v>0</v>
      </c>
      <c r="E169" s="9">
        <v>32.9</v>
      </c>
      <c r="F169" s="16">
        <f t="shared" si="13"/>
        <v>1.0334346504559375E-2</v>
      </c>
      <c r="J169" s="9"/>
      <c r="K169" s="9">
        <f t="shared" si="12"/>
        <v>0</v>
      </c>
      <c r="L169" s="16"/>
    </row>
    <row r="170" spans="1:12">
      <c r="A170" s="1" t="s">
        <v>3620</v>
      </c>
      <c r="B170" s="7">
        <v>33.74</v>
      </c>
      <c r="C170" s="7">
        <v>33.74</v>
      </c>
      <c r="D170" s="16">
        <f t="shared" si="10"/>
        <v>0</v>
      </c>
      <c r="E170" s="9">
        <v>32.9</v>
      </c>
      <c r="F170" s="16">
        <f t="shared" si="13"/>
        <v>2.5531914893617128E-2</v>
      </c>
      <c r="J170" s="9"/>
      <c r="K170" s="9">
        <f t="shared" si="12"/>
        <v>0</v>
      </c>
      <c r="L170" s="16"/>
    </row>
    <row r="171" spans="1:12">
      <c r="A171" s="1" t="s">
        <v>3621</v>
      </c>
      <c r="B171" s="7">
        <v>34.74</v>
      </c>
      <c r="C171" s="7">
        <v>34.74</v>
      </c>
      <c r="D171" s="16">
        <f t="shared" si="10"/>
        <v>0</v>
      </c>
      <c r="E171" s="9">
        <v>32.9</v>
      </c>
      <c r="F171" s="16">
        <f t="shared" si="13"/>
        <v>5.5927051671732626E-2</v>
      </c>
      <c r="J171" s="9"/>
      <c r="K171" s="9">
        <f t="shared" si="12"/>
        <v>0</v>
      </c>
      <c r="L171" s="16"/>
    </row>
    <row r="172" spans="1:12">
      <c r="A172" s="1" t="s">
        <v>3622</v>
      </c>
      <c r="B172" s="7">
        <v>33.24</v>
      </c>
      <c r="C172" s="7">
        <v>33.24</v>
      </c>
      <c r="D172" s="16">
        <f t="shared" si="10"/>
        <v>0</v>
      </c>
      <c r="E172" s="9">
        <v>32.9</v>
      </c>
      <c r="F172" s="16">
        <f t="shared" si="13"/>
        <v>1.0334346504559375E-2</v>
      </c>
      <c r="J172" s="9"/>
      <c r="K172" s="9">
        <f t="shared" si="12"/>
        <v>0</v>
      </c>
      <c r="L172" s="16"/>
    </row>
    <row r="173" spans="1:12">
      <c r="A173" s="1" t="s">
        <v>3623</v>
      </c>
      <c r="B173" s="7">
        <v>33.74</v>
      </c>
      <c r="C173" s="7">
        <v>33.74</v>
      </c>
      <c r="D173" s="16">
        <f t="shared" si="10"/>
        <v>0</v>
      </c>
      <c r="E173" s="9">
        <v>32.9</v>
      </c>
      <c r="F173" s="16">
        <f t="shared" si="13"/>
        <v>2.5531914893617128E-2</v>
      </c>
      <c r="J173" s="9"/>
      <c r="K173" s="9">
        <f t="shared" si="12"/>
        <v>0</v>
      </c>
      <c r="L173" s="16"/>
    </row>
    <row r="174" spans="1:12">
      <c r="A174" s="1" t="s">
        <v>3624</v>
      </c>
      <c r="B174" s="7">
        <v>33.99</v>
      </c>
      <c r="C174" s="7">
        <v>33.99</v>
      </c>
      <c r="D174" s="16">
        <f t="shared" si="10"/>
        <v>0</v>
      </c>
      <c r="E174" s="9">
        <v>32.9</v>
      </c>
      <c r="F174" s="16">
        <f t="shared" si="13"/>
        <v>3.3130699088146004E-2</v>
      </c>
      <c r="J174" s="9"/>
      <c r="K174" s="9">
        <f t="shared" si="12"/>
        <v>0</v>
      </c>
      <c r="L174" s="16"/>
    </row>
    <row r="175" spans="1:12" ht="63.75">
      <c r="A175" s="1" t="s">
        <v>3601</v>
      </c>
      <c r="B175" s="7" t="s">
        <v>3625</v>
      </c>
      <c r="C175" s="7" t="s">
        <v>3625</v>
      </c>
      <c r="D175" s="16"/>
      <c r="E175" s="9"/>
      <c r="J175" s="9"/>
      <c r="K175" s="9">
        <f t="shared" si="12"/>
        <v>0</v>
      </c>
      <c r="L175" s="16"/>
    </row>
    <row r="176" spans="1:12">
      <c r="A176" s="143"/>
      <c r="B176" s="143"/>
      <c r="C176" s="7"/>
      <c r="D176" s="16"/>
      <c r="E176" s="9"/>
      <c r="J176" s="9"/>
      <c r="K176" s="9">
        <f t="shared" si="12"/>
        <v>0</v>
      </c>
      <c r="L176" s="16"/>
    </row>
    <row r="177" spans="1:12">
      <c r="A177" s="2" t="s">
        <v>3626</v>
      </c>
      <c r="B177" s="7"/>
      <c r="C177" s="31"/>
      <c r="D177" s="43"/>
      <c r="E177" s="44"/>
      <c r="F177" s="8"/>
      <c r="G177" s="23" t="s">
        <v>3983</v>
      </c>
      <c r="H177" s="8"/>
      <c r="I177" s="8"/>
      <c r="J177" s="44"/>
      <c r="K177" s="9">
        <f t="shared" si="12"/>
        <v>0</v>
      </c>
      <c r="L177" s="43"/>
    </row>
    <row r="178" spans="1:12">
      <c r="A178" s="1" t="s">
        <v>3627</v>
      </c>
      <c r="B178" s="7">
        <v>58.47</v>
      </c>
      <c r="C178" s="7">
        <v>58.47</v>
      </c>
      <c r="D178" s="16">
        <f t="shared" si="10"/>
        <v>0</v>
      </c>
      <c r="E178" s="9"/>
      <c r="J178" s="9"/>
      <c r="K178" s="9">
        <f t="shared" si="12"/>
        <v>0</v>
      </c>
      <c r="L178" s="16"/>
    </row>
    <row r="179" spans="1:12">
      <c r="A179" s="1" t="s">
        <v>3628</v>
      </c>
      <c r="B179" s="7">
        <v>62.05</v>
      </c>
      <c r="C179" s="7">
        <v>62.05</v>
      </c>
      <c r="D179" s="16">
        <f t="shared" si="10"/>
        <v>0</v>
      </c>
      <c r="E179" s="9"/>
      <c r="J179" s="9"/>
      <c r="K179" s="9">
        <f t="shared" si="12"/>
        <v>0</v>
      </c>
      <c r="L179" s="16"/>
    </row>
    <row r="180" spans="1:12">
      <c r="A180" s="143"/>
      <c r="B180" s="143"/>
      <c r="C180" s="7"/>
      <c r="D180" s="16"/>
      <c r="E180" s="9"/>
      <c r="J180" s="9"/>
      <c r="K180" s="9">
        <f t="shared" si="12"/>
        <v>0</v>
      </c>
      <c r="L180" s="16"/>
    </row>
    <row r="181" spans="1:12" ht="38.25">
      <c r="A181" s="2" t="s">
        <v>3629</v>
      </c>
      <c r="B181" s="12" t="s">
        <v>3510</v>
      </c>
      <c r="C181" s="8" t="s">
        <v>3480</v>
      </c>
      <c r="D181" s="43"/>
      <c r="E181" s="44"/>
      <c r="F181" s="8"/>
      <c r="G181" s="23" t="s">
        <v>3983</v>
      </c>
      <c r="H181" s="43">
        <f>AVERAGE(F182)</f>
        <v>-1.4735052422782545E-2</v>
      </c>
      <c r="I181" s="8"/>
      <c r="J181" s="44"/>
      <c r="K181" s="9">
        <f t="shared" si="12"/>
        <v>0</v>
      </c>
      <c r="L181" s="43"/>
    </row>
    <row r="182" spans="1:12">
      <c r="A182" s="1" t="s">
        <v>3694</v>
      </c>
      <c r="B182" s="7">
        <v>34.270000000000003</v>
      </c>
      <c r="C182" s="7">
        <v>34.770000000000003</v>
      </c>
      <c r="D182" s="16">
        <f t="shared" si="10"/>
        <v>1.4590020426028595E-2</v>
      </c>
      <c r="E182" s="9">
        <v>35.29</v>
      </c>
      <c r="F182" s="16">
        <f>(C182-E182)/E182</f>
        <v>-1.4735052422782545E-2</v>
      </c>
      <c r="J182" s="9"/>
      <c r="K182" s="9">
        <f t="shared" si="12"/>
        <v>0</v>
      </c>
      <c r="L182" s="16"/>
    </row>
    <row r="183" spans="1:12">
      <c r="A183" s="1"/>
      <c r="B183" s="7"/>
      <c r="C183" s="7"/>
      <c r="D183" s="16"/>
      <c r="E183" s="9"/>
      <c r="J183" s="9"/>
      <c r="K183" s="9">
        <f t="shared" si="12"/>
        <v>0</v>
      </c>
      <c r="L183" s="16"/>
    </row>
    <row r="184" spans="1:12">
      <c r="A184" s="2" t="s">
        <v>3632</v>
      </c>
      <c r="B184" s="11" t="s">
        <v>3534</v>
      </c>
      <c r="C184" s="33" t="s">
        <v>3534</v>
      </c>
      <c r="D184" s="43"/>
      <c r="E184" s="44"/>
      <c r="F184" s="8"/>
      <c r="G184" s="23" t="s">
        <v>3984</v>
      </c>
      <c r="H184" s="8"/>
      <c r="I184" s="43">
        <f>AVERAGE(F185)</f>
        <v>-0.16776171703898374</v>
      </c>
      <c r="J184" s="44"/>
      <c r="K184" s="9">
        <f t="shared" si="12"/>
        <v>0</v>
      </c>
      <c r="L184" s="43"/>
    </row>
    <row r="185" spans="1:12">
      <c r="A185" s="1" t="s">
        <v>3926</v>
      </c>
      <c r="B185" s="7">
        <v>36.24</v>
      </c>
      <c r="C185" s="7">
        <v>19</v>
      </c>
      <c r="D185" s="16">
        <f t="shared" si="10"/>
        <v>-0.47571743929359828</v>
      </c>
      <c r="E185" s="9">
        <v>22.83</v>
      </c>
      <c r="F185" s="16">
        <f>(C185-E185)/E185</f>
        <v>-0.16776171703898374</v>
      </c>
      <c r="J185" s="9">
        <v>25.42</v>
      </c>
      <c r="K185" s="9">
        <f t="shared" si="12"/>
        <v>35.588000000000001</v>
      </c>
      <c r="L185" s="16">
        <f>(C185-K185)/K185</f>
        <v>-0.46611217264246374</v>
      </c>
    </row>
    <row r="186" spans="1:12">
      <c r="A186" s="1"/>
      <c r="B186" s="7"/>
      <c r="C186" s="7"/>
      <c r="D186" s="16"/>
      <c r="E186" s="9"/>
      <c r="J186" s="9"/>
      <c r="K186" s="9">
        <f t="shared" si="12"/>
        <v>0</v>
      </c>
      <c r="L186" s="16"/>
    </row>
    <row r="187" spans="1:12">
      <c r="A187" s="2" t="s">
        <v>3636</v>
      </c>
      <c r="B187" s="11" t="s">
        <v>3534</v>
      </c>
      <c r="C187" s="33" t="s">
        <v>3534</v>
      </c>
      <c r="D187" s="43"/>
      <c r="E187" s="44"/>
      <c r="F187" s="8"/>
      <c r="G187" s="23" t="s">
        <v>3984</v>
      </c>
      <c r="H187" s="8"/>
      <c r="I187" s="43">
        <f>AVERAGE(F188:F190)</f>
        <v>0</v>
      </c>
      <c r="J187" s="44"/>
      <c r="K187" s="9">
        <f t="shared" si="12"/>
        <v>0</v>
      </c>
      <c r="L187" s="43"/>
    </row>
    <row r="188" spans="1:12">
      <c r="A188" s="1" t="s">
        <v>3637</v>
      </c>
      <c r="B188" s="7">
        <v>27.52</v>
      </c>
      <c r="C188" s="7">
        <v>19</v>
      </c>
      <c r="D188" s="16">
        <f t="shared" si="10"/>
        <v>-0.30959302325581395</v>
      </c>
      <c r="E188" s="9">
        <v>19</v>
      </c>
      <c r="F188" s="16">
        <f>(C188-E188)/E188</f>
        <v>0</v>
      </c>
      <c r="J188" s="9">
        <v>25.6</v>
      </c>
      <c r="K188" s="9">
        <f t="shared" si="12"/>
        <v>35.839999999999996</v>
      </c>
      <c r="L188" s="16">
        <f>(C188-K188)/K188</f>
        <v>-0.4698660714285714</v>
      </c>
    </row>
    <row r="189" spans="1:12">
      <c r="A189" s="1" t="s">
        <v>3877</v>
      </c>
      <c r="B189" s="7">
        <v>27.52</v>
      </c>
      <c r="C189" s="7">
        <v>19</v>
      </c>
      <c r="D189" s="16">
        <f t="shared" si="10"/>
        <v>-0.30959302325581395</v>
      </c>
      <c r="E189" s="9">
        <v>19</v>
      </c>
      <c r="F189" s="16">
        <f>(C189-E189)/E189</f>
        <v>0</v>
      </c>
      <c r="J189" s="9">
        <v>25.6</v>
      </c>
      <c r="K189" s="9">
        <f t="shared" si="12"/>
        <v>35.839999999999996</v>
      </c>
      <c r="L189" s="16">
        <f t="shared" ref="L189:L190" si="14">(C189-K189)/K189</f>
        <v>-0.4698660714285714</v>
      </c>
    </row>
    <row r="190" spans="1:12">
      <c r="A190" s="1" t="s">
        <v>3878</v>
      </c>
      <c r="B190" s="7">
        <v>27.52</v>
      </c>
      <c r="C190" s="7">
        <v>19</v>
      </c>
      <c r="D190" s="16">
        <f t="shared" si="10"/>
        <v>-0.30959302325581395</v>
      </c>
      <c r="E190" s="9">
        <v>19</v>
      </c>
      <c r="F190" s="16">
        <f>(C190-E190)/E190</f>
        <v>0</v>
      </c>
      <c r="J190" s="9">
        <v>25.6</v>
      </c>
      <c r="K190" s="9">
        <f t="shared" si="12"/>
        <v>35.839999999999996</v>
      </c>
      <c r="L190" s="16">
        <f t="shared" si="14"/>
        <v>-0.4698660714285714</v>
      </c>
    </row>
    <row r="191" spans="1:12">
      <c r="A191" s="1"/>
      <c r="B191" s="7"/>
      <c r="C191" s="7"/>
      <c r="D191" s="16"/>
      <c r="E191" s="9"/>
      <c r="J191" s="9"/>
      <c r="K191" s="9">
        <f t="shared" si="12"/>
        <v>0</v>
      </c>
      <c r="L191" s="16"/>
    </row>
    <row r="192" spans="1:12">
      <c r="A192" s="2" t="s">
        <v>3879</v>
      </c>
      <c r="B192" s="150" t="s">
        <v>3534</v>
      </c>
      <c r="C192" s="33" t="s">
        <v>3534</v>
      </c>
      <c r="D192" s="43"/>
      <c r="E192" s="44"/>
      <c r="F192" s="8"/>
      <c r="G192" s="23" t="s">
        <v>3984</v>
      </c>
      <c r="H192" s="8"/>
      <c r="I192" s="43">
        <f>AVERAGE(F194)</f>
        <v>0</v>
      </c>
      <c r="J192" s="44"/>
      <c r="K192" s="9">
        <f t="shared" si="12"/>
        <v>0</v>
      </c>
      <c r="L192" s="43"/>
    </row>
    <row r="193" spans="1:12">
      <c r="A193" s="1" t="s">
        <v>3880</v>
      </c>
      <c r="B193" s="150"/>
      <c r="C193" s="11"/>
      <c r="D193" s="16"/>
      <c r="E193" s="9"/>
      <c r="J193" s="9"/>
      <c r="K193" s="9">
        <f t="shared" si="12"/>
        <v>0</v>
      </c>
      <c r="L193" s="16"/>
    </row>
    <row r="194" spans="1:12">
      <c r="A194" s="1" t="s">
        <v>3915</v>
      </c>
      <c r="B194" s="7">
        <v>18.64</v>
      </c>
      <c r="C194" s="7">
        <v>20.11</v>
      </c>
      <c r="D194" s="16">
        <f t="shared" si="10"/>
        <v>7.8862660944205951E-2</v>
      </c>
      <c r="E194" s="9">
        <v>20.11</v>
      </c>
      <c r="F194" s="16">
        <f>(C194-E194)/E194</f>
        <v>0</v>
      </c>
      <c r="J194" s="9"/>
      <c r="K194" s="9">
        <f t="shared" si="12"/>
        <v>0</v>
      </c>
      <c r="L194" s="16"/>
    </row>
    <row r="195" spans="1:12">
      <c r="A195" s="1"/>
      <c r="B195" s="7"/>
      <c r="C195" s="7"/>
      <c r="D195" s="16"/>
      <c r="E195" s="9"/>
      <c r="J195" s="9"/>
      <c r="K195" s="9">
        <f t="shared" si="12"/>
        <v>0</v>
      </c>
      <c r="L195" s="16"/>
    </row>
    <row r="196" spans="1:12">
      <c r="A196" s="2" t="s">
        <v>3640</v>
      </c>
      <c r="B196" s="7"/>
      <c r="C196" s="31"/>
      <c r="D196" s="43"/>
      <c r="E196" s="44"/>
      <c r="F196" s="8"/>
      <c r="G196" s="23" t="s">
        <v>3984</v>
      </c>
      <c r="H196" s="8"/>
      <c r="I196" s="43">
        <f>AVERAGE(F197)</f>
        <v>-0.26847110460863205</v>
      </c>
      <c r="J196" s="44"/>
      <c r="K196" s="9">
        <f t="shared" si="12"/>
        <v>0</v>
      </c>
      <c r="L196" s="43"/>
    </row>
    <row r="197" spans="1:12">
      <c r="A197" s="1" t="s">
        <v>3927</v>
      </c>
      <c r="B197" s="7">
        <v>30</v>
      </c>
      <c r="C197" s="7">
        <v>20</v>
      </c>
      <c r="D197" s="16">
        <f t="shared" si="10"/>
        <v>-0.33333333333333331</v>
      </c>
      <c r="E197" s="9">
        <v>27.34</v>
      </c>
      <c r="F197" s="16">
        <f>(C197-E197)/E197</f>
        <v>-0.26847110460863205</v>
      </c>
      <c r="J197" s="9"/>
      <c r="K197" s="9">
        <f t="shared" si="12"/>
        <v>0</v>
      </c>
      <c r="L197" s="16"/>
    </row>
    <row r="198" spans="1:12">
      <c r="A198" s="1"/>
      <c r="B198" s="7"/>
      <c r="C198" s="7"/>
      <c r="D198" s="16"/>
      <c r="E198" s="9"/>
      <c r="J198" s="9"/>
      <c r="K198" s="9">
        <f t="shared" si="12"/>
        <v>0</v>
      </c>
      <c r="L198" s="16"/>
    </row>
    <row r="199" spans="1:12">
      <c r="A199" s="2" t="s">
        <v>3644</v>
      </c>
      <c r="B199" s="11" t="s">
        <v>3534</v>
      </c>
      <c r="C199" s="33" t="s">
        <v>3534</v>
      </c>
      <c r="D199" s="43"/>
      <c r="E199" s="44"/>
      <c r="F199" s="8"/>
      <c r="G199" s="23" t="s">
        <v>3984</v>
      </c>
      <c r="H199" s="8"/>
      <c r="I199" s="43">
        <f>AVERAGE(F200:F202)</f>
        <v>-0.42580840132970693</v>
      </c>
      <c r="J199" s="44"/>
      <c r="K199" s="9">
        <f t="shared" si="12"/>
        <v>0</v>
      </c>
      <c r="L199" s="43"/>
    </row>
    <row r="200" spans="1:12">
      <c r="A200" s="1" t="s">
        <v>3645</v>
      </c>
      <c r="B200" s="7">
        <v>52.3</v>
      </c>
      <c r="C200" s="7">
        <v>19</v>
      </c>
      <c r="D200" s="16">
        <f t="shared" ref="D200:D260" si="15">(C200-B200)/B200</f>
        <v>-0.6367112810707457</v>
      </c>
      <c r="E200" s="9">
        <v>33.090000000000003</v>
      </c>
      <c r="F200" s="16">
        <f>(C200-E200)/E200</f>
        <v>-0.42580840132970693</v>
      </c>
      <c r="J200" s="9"/>
      <c r="K200" s="9">
        <f t="shared" si="12"/>
        <v>0</v>
      </c>
      <c r="L200" s="16"/>
    </row>
    <row r="201" spans="1:12">
      <c r="A201" s="1" t="s">
        <v>3646</v>
      </c>
      <c r="B201" s="7">
        <v>55.05</v>
      </c>
      <c r="C201" s="7">
        <v>19</v>
      </c>
      <c r="D201" s="16">
        <f t="shared" si="15"/>
        <v>-0.65485921889191645</v>
      </c>
      <c r="E201" s="9">
        <v>33.090000000000003</v>
      </c>
      <c r="F201" s="16">
        <f>(C201-E201)/E201</f>
        <v>-0.42580840132970693</v>
      </c>
      <c r="J201" s="9"/>
      <c r="K201" s="9">
        <f t="shared" si="12"/>
        <v>0</v>
      </c>
      <c r="L201" s="16"/>
    </row>
    <row r="202" spans="1:12">
      <c r="A202" s="1" t="s">
        <v>3647</v>
      </c>
      <c r="B202" s="7">
        <v>57.3</v>
      </c>
      <c r="C202" s="7">
        <v>19</v>
      </c>
      <c r="D202" s="16">
        <f t="shared" si="15"/>
        <v>-0.66841186736474689</v>
      </c>
      <c r="E202" s="9">
        <v>33.090000000000003</v>
      </c>
      <c r="F202" s="16">
        <f>(C202-E202)/E202</f>
        <v>-0.42580840132970693</v>
      </c>
      <c r="J202" s="9"/>
      <c r="K202" s="9">
        <f t="shared" si="12"/>
        <v>0</v>
      </c>
      <c r="L202" s="16"/>
    </row>
    <row r="203" spans="1:12">
      <c r="A203" s="1"/>
      <c r="B203" s="7"/>
      <c r="C203" s="7"/>
      <c r="D203" s="16"/>
      <c r="E203" s="9"/>
      <c r="J203" s="9"/>
      <c r="K203" s="9">
        <f t="shared" si="12"/>
        <v>0</v>
      </c>
      <c r="L203" s="16"/>
    </row>
    <row r="204" spans="1:12">
      <c r="A204" s="2" t="s">
        <v>3648</v>
      </c>
      <c r="B204" s="7"/>
      <c r="C204" s="8" t="s">
        <v>3497</v>
      </c>
      <c r="D204" s="43"/>
      <c r="E204" s="44"/>
      <c r="F204" s="8"/>
      <c r="G204" s="23" t="s">
        <v>3984</v>
      </c>
      <c r="H204" s="8"/>
      <c r="I204" s="43">
        <f>AVERAGE(F205)</f>
        <v>0</v>
      </c>
      <c r="J204" s="44"/>
      <c r="K204" s="9">
        <f t="shared" si="12"/>
        <v>0</v>
      </c>
      <c r="L204" s="43"/>
    </row>
    <row r="205" spans="1:12">
      <c r="A205" s="1" t="s">
        <v>3650</v>
      </c>
      <c r="B205" s="7">
        <v>46.85</v>
      </c>
      <c r="C205" s="7">
        <v>25.63</v>
      </c>
      <c r="D205" s="16">
        <f t="shared" si="15"/>
        <v>-0.4529348986125934</v>
      </c>
      <c r="E205" s="9">
        <v>25.63</v>
      </c>
      <c r="F205" s="16">
        <f>(C205-E205)/E205</f>
        <v>0</v>
      </c>
      <c r="J205" s="9">
        <v>31.04</v>
      </c>
      <c r="K205" s="9">
        <f t="shared" si="12"/>
        <v>43.455999999999996</v>
      </c>
      <c r="L205" s="16">
        <f>(C205-K205)/K205</f>
        <v>-0.41020802650957289</v>
      </c>
    </row>
    <row r="206" spans="1:12">
      <c r="A206" s="1"/>
      <c r="B206" s="7"/>
      <c r="C206" s="7"/>
      <c r="D206" s="16"/>
      <c r="E206" s="9"/>
      <c r="J206" s="9"/>
      <c r="K206" s="9">
        <f t="shared" si="12"/>
        <v>0</v>
      </c>
      <c r="L206" s="16"/>
    </row>
    <row r="207" spans="1:12">
      <c r="A207" s="2" t="s">
        <v>3651</v>
      </c>
      <c r="B207" s="11" t="s">
        <v>3534</v>
      </c>
      <c r="C207" s="33" t="s">
        <v>3534</v>
      </c>
      <c r="D207" s="43"/>
      <c r="E207" s="44"/>
      <c r="F207" s="8"/>
      <c r="G207" s="23" t="s">
        <v>3983</v>
      </c>
      <c r="H207" s="43">
        <f>AVERAGE(F208)</f>
        <v>1.227678571428565E-2</v>
      </c>
      <c r="I207" s="8"/>
      <c r="J207" s="44"/>
      <c r="K207" s="9">
        <f t="shared" si="12"/>
        <v>0</v>
      </c>
      <c r="L207" s="43"/>
    </row>
    <row r="208" spans="1:12">
      <c r="A208" s="1" t="s">
        <v>3652</v>
      </c>
      <c r="B208" s="7">
        <v>35.49</v>
      </c>
      <c r="C208" s="7">
        <v>36.28</v>
      </c>
      <c r="D208" s="16">
        <f t="shared" si="15"/>
        <v>2.2259791490560697E-2</v>
      </c>
      <c r="E208" s="9">
        <v>35.840000000000003</v>
      </c>
      <c r="F208" s="16">
        <f>(C208-E208)/E208</f>
        <v>1.227678571428565E-2</v>
      </c>
      <c r="J208" s="9"/>
      <c r="K208" s="9">
        <f t="shared" si="12"/>
        <v>0</v>
      </c>
      <c r="L208" s="16"/>
    </row>
    <row r="209" spans="1:12">
      <c r="A209" s="1"/>
      <c r="B209" s="7"/>
      <c r="C209" s="7"/>
      <c r="D209" s="16"/>
      <c r="E209" s="9"/>
      <c r="J209" s="9"/>
      <c r="K209" s="9">
        <f t="shared" si="12"/>
        <v>0</v>
      </c>
      <c r="L209" s="16"/>
    </row>
    <row r="210" spans="1:12" ht="38.25">
      <c r="A210" s="2" t="s">
        <v>3653</v>
      </c>
      <c r="B210" s="12" t="s">
        <v>3977</v>
      </c>
      <c r="C210" s="8" t="s">
        <v>3480</v>
      </c>
      <c r="D210" s="43"/>
      <c r="E210" s="44"/>
      <c r="F210" s="8"/>
      <c r="G210" s="23" t="s">
        <v>3983</v>
      </c>
      <c r="H210" s="43">
        <f>AVERAGE(F211)</f>
        <v>1.0195758564437194E-2</v>
      </c>
      <c r="I210" s="8"/>
      <c r="J210" s="44"/>
      <c r="K210" s="9">
        <f t="shared" si="12"/>
        <v>0</v>
      </c>
      <c r="L210" s="43"/>
    </row>
    <row r="211" spans="1:12">
      <c r="A211" s="1" t="s">
        <v>3654</v>
      </c>
      <c r="B211" s="7">
        <v>32.479999999999997</v>
      </c>
      <c r="C211" s="7">
        <v>24.77</v>
      </c>
      <c r="D211" s="16">
        <f t="shared" si="15"/>
        <v>-0.23737684729064035</v>
      </c>
      <c r="E211" s="9">
        <v>24.52</v>
      </c>
      <c r="F211" s="16">
        <f>(C211-E211)/E211</f>
        <v>1.0195758564437194E-2</v>
      </c>
      <c r="J211" s="9"/>
      <c r="K211" s="9">
        <f t="shared" si="12"/>
        <v>0</v>
      </c>
      <c r="L211" s="16"/>
    </row>
    <row r="212" spans="1:12">
      <c r="A212" s="1"/>
      <c r="B212" s="7"/>
      <c r="C212" s="7"/>
      <c r="D212" s="16"/>
      <c r="E212" s="9"/>
      <c r="J212" s="9"/>
      <c r="K212" s="9">
        <f t="shared" si="12"/>
        <v>0</v>
      </c>
      <c r="L212" s="16"/>
    </row>
    <row r="213" spans="1:12" ht="38.25">
      <c r="A213" s="2" t="s">
        <v>3655</v>
      </c>
      <c r="B213" s="12" t="s">
        <v>3977</v>
      </c>
      <c r="C213" s="44"/>
      <c r="D213" s="43"/>
      <c r="E213" s="44"/>
      <c r="F213" s="8"/>
      <c r="G213" s="23" t="s">
        <v>3983</v>
      </c>
      <c r="H213" s="43">
        <f>AVERAGE(F214:F219)</f>
        <v>4.1518034086404983E-2</v>
      </c>
      <c r="I213" s="8"/>
      <c r="J213" s="44"/>
      <c r="K213" s="9">
        <f t="shared" si="12"/>
        <v>0</v>
      </c>
      <c r="L213" s="43"/>
    </row>
    <row r="214" spans="1:12">
      <c r="A214" s="1" t="s">
        <v>3656</v>
      </c>
      <c r="B214" s="7">
        <v>35.99</v>
      </c>
      <c r="C214" s="7">
        <v>32.869999999999997</v>
      </c>
      <c r="D214" s="16">
        <f t="shared" si="15"/>
        <v>-8.6690747429841744E-2</v>
      </c>
      <c r="E214" s="9">
        <v>33.64</v>
      </c>
      <c r="F214" s="16">
        <f t="shared" ref="F214:F219" si="16">(C214-E214)/E214</f>
        <v>-2.2889417360285467E-2</v>
      </c>
      <c r="J214" s="9"/>
      <c r="K214" s="9">
        <f t="shared" ref="K214:K277" si="17">J214*1.4</f>
        <v>0</v>
      </c>
      <c r="L214" s="16"/>
    </row>
    <row r="215" spans="1:12">
      <c r="A215" s="1" t="s">
        <v>3657</v>
      </c>
      <c r="B215" s="7">
        <v>35.99</v>
      </c>
      <c r="C215" s="7">
        <v>34.119999999999997</v>
      </c>
      <c r="D215" s="16">
        <f t="shared" si="15"/>
        <v>-5.1958877465962894E-2</v>
      </c>
      <c r="E215" s="9">
        <v>33.64</v>
      </c>
      <c r="F215" s="16">
        <f t="shared" si="16"/>
        <v>1.4268727705112868E-2</v>
      </c>
      <c r="J215" s="9"/>
      <c r="K215" s="9">
        <f t="shared" si="17"/>
        <v>0</v>
      </c>
      <c r="L215" s="16"/>
    </row>
    <row r="216" spans="1:12">
      <c r="A216" s="1" t="s">
        <v>3916</v>
      </c>
      <c r="B216" s="7">
        <v>35.99</v>
      </c>
      <c r="C216" s="7">
        <v>35.869999999999997</v>
      </c>
      <c r="D216" s="16">
        <f t="shared" si="15"/>
        <v>-3.3342595165324965E-3</v>
      </c>
      <c r="E216" s="9">
        <v>33.64</v>
      </c>
      <c r="F216" s="16">
        <f t="shared" si="16"/>
        <v>6.6290130796670538E-2</v>
      </c>
      <c r="J216" s="9"/>
      <c r="K216" s="9">
        <f t="shared" si="17"/>
        <v>0</v>
      </c>
      <c r="L216" s="16"/>
    </row>
    <row r="217" spans="1:12">
      <c r="A217" s="1" t="s">
        <v>3659</v>
      </c>
      <c r="B217" s="7">
        <v>35.99</v>
      </c>
      <c r="C217" s="7">
        <v>34.369999999999997</v>
      </c>
      <c r="D217" s="16">
        <f t="shared" si="15"/>
        <v>-4.5012503473187117E-2</v>
      </c>
      <c r="E217" s="9">
        <v>33.64</v>
      </c>
      <c r="F217" s="16">
        <f t="shared" si="16"/>
        <v>2.1700356718192534E-2</v>
      </c>
      <c r="J217" s="9"/>
      <c r="K217" s="9">
        <f t="shared" si="17"/>
        <v>0</v>
      </c>
      <c r="L217" s="16"/>
    </row>
    <row r="218" spans="1:12">
      <c r="A218" s="1" t="s">
        <v>3660</v>
      </c>
      <c r="B218" s="7">
        <v>35.99</v>
      </c>
      <c r="C218" s="7">
        <v>35.619999999999997</v>
      </c>
      <c r="D218" s="16">
        <f t="shared" si="15"/>
        <v>-1.0280633509308267E-2</v>
      </c>
      <c r="E218" s="9">
        <v>33.64</v>
      </c>
      <c r="F218" s="16">
        <f t="shared" si="16"/>
        <v>5.8858501783590866E-2</v>
      </c>
      <c r="J218" s="9"/>
      <c r="K218" s="9">
        <f t="shared" si="17"/>
        <v>0</v>
      </c>
      <c r="L218" s="16"/>
    </row>
    <row r="219" spans="1:12">
      <c r="A219" s="1" t="s">
        <v>3661</v>
      </c>
      <c r="B219" s="7">
        <v>35.99</v>
      </c>
      <c r="C219" s="7">
        <v>37.369999999999997</v>
      </c>
      <c r="D219" s="16">
        <f t="shared" si="15"/>
        <v>3.8343984440122131E-2</v>
      </c>
      <c r="E219" s="9">
        <v>33.64</v>
      </c>
      <c r="F219" s="16">
        <f t="shared" si="16"/>
        <v>0.11087990487514854</v>
      </c>
      <c r="J219" s="9"/>
      <c r="K219" s="9">
        <f t="shared" si="17"/>
        <v>0</v>
      </c>
      <c r="L219" s="16"/>
    </row>
    <row r="220" spans="1:12">
      <c r="A220" s="1"/>
      <c r="B220" s="7"/>
      <c r="C220" s="7"/>
      <c r="D220" s="16"/>
      <c r="E220" s="9"/>
      <c r="J220" s="9"/>
      <c r="K220" s="9">
        <f t="shared" si="17"/>
        <v>0</v>
      </c>
      <c r="L220" s="16"/>
    </row>
    <row r="221" spans="1:12">
      <c r="A221" s="1"/>
      <c r="B221" s="7"/>
      <c r="C221" s="7"/>
      <c r="D221" s="16"/>
      <c r="E221" s="9"/>
      <c r="J221" s="9"/>
      <c r="K221" s="9">
        <f t="shared" si="17"/>
        <v>0</v>
      </c>
      <c r="L221" s="16"/>
    </row>
    <row r="222" spans="1:12" ht="51">
      <c r="A222" s="2" t="s">
        <v>3662</v>
      </c>
      <c r="B222" s="12" t="s">
        <v>3547</v>
      </c>
      <c r="C222" s="12" t="s">
        <v>3547</v>
      </c>
      <c r="D222" s="43"/>
      <c r="E222" s="44"/>
      <c r="F222" s="8"/>
      <c r="G222" s="23"/>
      <c r="H222" s="8"/>
      <c r="I222" s="8"/>
      <c r="J222" s="44"/>
      <c r="K222" s="9">
        <f t="shared" si="17"/>
        <v>0</v>
      </c>
      <c r="L222" s="43"/>
    </row>
    <row r="223" spans="1:12">
      <c r="A223" s="1" t="s">
        <v>3663</v>
      </c>
      <c r="B223" s="7">
        <v>30.82</v>
      </c>
      <c r="C223" s="7">
        <v>30.82</v>
      </c>
      <c r="D223" s="16">
        <f t="shared" si="15"/>
        <v>0</v>
      </c>
      <c r="E223" s="9"/>
      <c r="J223" s="9"/>
      <c r="K223" s="9">
        <f t="shared" si="17"/>
        <v>0</v>
      </c>
      <c r="L223" s="16"/>
    </row>
    <row r="224" spans="1:12">
      <c r="A224" s="143"/>
      <c r="B224" s="143"/>
      <c r="C224" s="7"/>
      <c r="D224" s="16"/>
      <c r="E224" s="9"/>
      <c r="J224" s="9"/>
      <c r="K224" s="9">
        <f t="shared" si="17"/>
        <v>0</v>
      </c>
      <c r="L224" s="16"/>
    </row>
    <row r="225" spans="1:12" ht="38.25">
      <c r="A225" s="2" t="s">
        <v>3664</v>
      </c>
      <c r="B225" s="12" t="s">
        <v>3510</v>
      </c>
      <c r="C225" s="12" t="s">
        <v>3510</v>
      </c>
      <c r="D225" s="43"/>
      <c r="E225" s="44"/>
      <c r="F225" s="8"/>
      <c r="G225" s="23" t="s">
        <v>3983</v>
      </c>
      <c r="H225" s="43">
        <f>AVERAGE(F228:F275)</f>
        <v>-2.2506729801405966E-2</v>
      </c>
      <c r="I225" s="43">
        <f>AVERAGE(F228:F275)</f>
        <v>-2.2506729801405966E-2</v>
      </c>
      <c r="J225" s="44"/>
      <c r="K225" s="9">
        <f t="shared" si="17"/>
        <v>0</v>
      </c>
      <c r="L225" s="43"/>
    </row>
    <row r="226" spans="1:12">
      <c r="A226" s="1"/>
      <c r="B226" s="7"/>
      <c r="C226" s="7"/>
      <c r="D226" s="16"/>
      <c r="E226" s="9"/>
      <c r="J226" s="9"/>
      <c r="K226" s="9">
        <f t="shared" si="17"/>
        <v>0</v>
      </c>
      <c r="L226" s="16"/>
    </row>
    <row r="227" spans="1:12" ht="25.5" customHeight="1">
      <c r="A227" s="145" t="s">
        <v>3700</v>
      </c>
      <c r="B227" s="145"/>
      <c r="C227" s="13"/>
      <c r="D227" s="16"/>
      <c r="E227" s="9"/>
      <c r="J227" s="9"/>
      <c r="K227" s="9">
        <f t="shared" si="17"/>
        <v>0</v>
      </c>
      <c r="L227" s="16"/>
    </row>
    <row r="228" spans="1:12">
      <c r="A228" s="1" t="s">
        <v>3701</v>
      </c>
      <c r="B228" s="7">
        <v>35.020000000000003</v>
      </c>
      <c r="C228" s="7">
        <v>39.51</v>
      </c>
      <c r="D228" s="16">
        <f t="shared" si="15"/>
        <v>0.12821245002855494</v>
      </c>
      <c r="E228" s="9">
        <v>40.42</v>
      </c>
      <c r="F228" s="16">
        <f t="shared" ref="F228:F242" si="18">(C228-E228)/E228</f>
        <v>-2.2513607125185641E-2</v>
      </c>
      <c r="J228" s="9">
        <v>20.13</v>
      </c>
      <c r="K228" s="9">
        <f t="shared" si="17"/>
        <v>28.181999999999995</v>
      </c>
      <c r="L228" s="16">
        <f>(C228-K228)/K228</f>
        <v>0.40195869704066445</v>
      </c>
    </row>
    <row r="229" spans="1:12">
      <c r="A229" s="1" t="s">
        <v>3702</v>
      </c>
      <c r="B229" s="7">
        <v>35.24</v>
      </c>
      <c r="C229" s="7">
        <v>39.51</v>
      </c>
      <c r="D229" s="16">
        <f t="shared" si="15"/>
        <v>0.12116912599318944</v>
      </c>
      <c r="E229" s="9">
        <v>40.42</v>
      </c>
      <c r="F229" s="16">
        <f t="shared" si="18"/>
        <v>-2.2513607125185641E-2</v>
      </c>
      <c r="J229" s="9">
        <v>20.13</v>
      </c>
      <c r="K229" s="9">
        <f t="shared" si="17"/>
        <v>28.181999999999995</v>
      </c>
      <c r="L229" s="16">
        <f t="shared" ref="L229:L275" si="19">(C229-K229)/K229</f>
        <v>0.40195869704066445</v>
      </c>
    </row>
    <row r="230" spans="1:12">
      <c r="A230" s="1" t="s">
        <v>3703</v>
      </c>
      <c r="B230" s="7">
        <v>35.450000000000003</v>
      </c>
      <c r="C230" s="7">
        <v>39.51</v>
      </c>
      <c r="D230" s="16">
        <f t="shared" si="15"/>
        <v>0.11452750352609295</v>
      </c>
      <c r="E230" s="9">
        <v>40.42</v>
      </c>
      <c r="F230" s="16">
        <f t="shared" si="18"/>
        <v>-2.2513607125185641E-2</v>
      </c>
      <c r="J230" s="9">
        <v>20.13</v>
      </c>
      <c r="K230" s="9">
        <f t="shared" si="17"/>
        <v>28.181999999999995</v>
      </c>
      <c r="L230" s="16">
        <f t="shared" si="19"/>
        <v>0.40195869704066445</v>
      </c>
    </row>
    <row r="231" spans="1:12">
      <c r="A231" s="1" t="s">
        <v>3704</v>
      </c>
      <c r="B231" s="7">
        <v>35.619999999999997</v>
      </c>
      <c r="C231" s="7">
        <v>39.51</v>
      </c>
      <c r="D231" s="16">
        <f t="shared" si="15"/>
        <v>0.10920830993823696</v>
      </c>
      <c r="E231" s="9">
        <v>40.42</v>
      </c>
      <c r="F231" s="16">
        <f t="shared" si="18"/>
        <v>-2.2513607125185641E-2</v>
      </c>
      <c r="J231" s="9">
        <v>20.13</v>
      </c>
      <c r="K231" s="9">
        <f t="shared" si="17"/>
        <v>28.181999999999995</v>
      </c>
      <c r="L231" s="16">
        <f t="shared" si="19"/>
        <v>0.40195869704066445</v>
      </c>
    </row>
    <row r="232" spans="1:12">
      <c r="A232" s="1" t="s">
        <v>3705</v>
      </c>
      <c r="B232" s="7">
        <v>36.04</v>
      </c>
      <c r="C232" s="7">
        <v>39.51</v>
      </c>
      <c r="D232" s="16">
        <f t="shared" si="15"/>
        <v>9.6281908990011073E-2</v>
      </c>
      <c r="E232" s="9">
        <v>40.42</v>
      </c>
      <c r="F232" s="16">
        <f t="shared" si="18"/>
        <v>-2.2513607125185641E-2</v>
      </c>
      <c r="J232" s="9">
        <v>20.13</v>
      </c>
      <c r="K232" s="9">
        <f t="shared" si="17"/>
        <v>28.181999999999995</v>
      </c>
      <c r="L232" s="16">
        <f t="shared" si="19"/>
        <v>0.40195869704066445</v>
      </c>
    </row>
    <row r="233" spans="1:12">
      <c r="A233" s="1" t="s">
        <v>3706</v>
      </c>
      <c r="B233" s="7">
        <v>37.479999999999997</v>
      </c>
      <c r="C233" s="7">
        <v>39.51</v>
      </c>
      <c r="D233" s="16">
        <f t="shared" si="15"/>
        <v>5.4162219850587015E-2</v>
      </c>
      <c r="E233" s="9">
        <v>40.42</v>
      </c>
      <c r="F233" s="16">
        <f t="shared" si="18"/>
        <v>-2.2513607125185641E-2</v>
      </c>
      <c r="J233" s="9">
        <v>20.13</v>
      </c>
      <c r="K233" s="9">
        <f t="shared" si="17"/>
        <v>28.181999999999995</v>
      </c>
      <c r="L233" s="16">
        <f t="shared" si="19"/>
        <v>0.40195869704066445</v>
      </c>
    </row>
    <row r="234" spans="1:12">
      <c r="A234" s="1" t="s">
        <v>3707</v>
      </c>
      <c r="B234" s="7">
        <v>38.43</v>
      </c>
      <c r="C234" s="7">
        <v>39.51</v>
      </c>
      <c r="D234" s="16">
        <f t="shared" si="15"/>
        <v>2.8103044496487074E-2</v>
      </c>
      <c r="E234" s="9">
        <v>40.42</v>
      </c>
      <c r="F234" s="16">
        <f t="shared" si="18"/>
        <v>-2.2513607125185641E-2</v>
      </c>
      <c r="J234" s="9">
        <v>20.13</v>
      </c>
      <c r="K234" s="9">
        <f t="shared" si="17"/>
        <v>28.181999999999995</v>
      </c>
      <c r="L234" s="16">
        <f t="shared" si="19"/>
        <v>0.40195869704066445</v>
      </c>
    </row>
    <row r="235" spans="1:12">
      <c r="A235" s="1" t="s">
        <v>3708</v>
      </c>
      <c r="B235" s="7">
        <v>38.9</v>
      </c>
      <c r="C235" s="7">
        <v>39.51</v>
      </c>
      <c r="D235" s="16">
        <f t="shared" si="15"/>
        <v>1.5681233933161939E-2</v>
      </c>
      <c r="E235" s="9">
        <v>40.42</v>
      </c>
      <c r="F235" s="16">
        <f t="shared" si="18"/>
        <v>-2.2513607125185641E-2</v>
      </c>
      <c r="J235" s="9">
        <v>20.13</v>
      </c>
      <c r="K235" s="9">
        <f t="shared" si="17"/>
        <v>28.181999999999995</v>
      </c>
      <c r="L235" s="16">
        <f t="shared" si="19"/>
        <v>0.40195869704066445</v>
      </c>
    </row>
    <row r="236" spans="1:12">
      <c r="A236" s="1" t="s">
        <v>3709</v>
      </c>
      <c r="B236" s="7">
        <v>40.9</v>
      </c>
      <c r="C236" s="7">
        <v>39.51</v>
      </c>
      <c r="D236" s="16">
        <f t="shared" si="15"/>
        <v>-3.3985330073349647E-2</v>
      </c>
      <c r="E236" s="9">
        <v>40.42</v>
      </c>
      <c r="F236" s="16">
        <f t="shared" si="18"/>
        <v>-2.2513607125185641E-2</v>
      </c>
      <c r="J236" s="9">
        <v>20.13</v>
      </c>
      <c r="K236" s="9">
        <f t="shared" si="17"/>
        <v>28.181999999999995</v>
      </c>
      <c r="L236" s="16">
        <f t="shared" si="19"/>
        <v>0.40195869704066445</v>
      </c>
    </row>
    <row r="237" spans="1:12">
      <c r="A237" s="1" t="s">
        <v>3710</v>
      </c>
      <c r="B237" s="7">
        <v>43.9</v>
      </c>
      <c r="C237" s="7">
        <v>39.51</v>
      </c>
      <c r="D237" s="16">
        <f t="shared" si="15"/>
        <v>-0.10000000000000002</v>
      </c>
      <c r="E237" s="9">
        <v>40.42</v>
      </c>
      <c r="F237" s="16">
        <f t="shared" si="18"/>
        <v>-2.2513607125185641E-2</v>
      </c>
      <c r="J237" s="9">
        <v>20.13</v>
      </c>
      <c r="K237" s="9">
        <f t="shared" si="17"/>
        <v>28.181999999999995</v>
      </c>
      <c r="L237" s="16">
        <f t="shared" si="19"/>
        <v>0.40195869704066445</v>
      </c>
    </row>
    <row r="238" spans="1:12">
      <c r="A238" s="1" t="s">
        <v>3711</v>
      </c>
      <c r="B238" s="7">
        <v>45.4</v>
      </c>
      <c r="C238" s="7">
        <v>39.51</v>
      </c>
      <c r="D238" s="16">
        <f t="shared" si="15"/>
        <v>-0.12973568281938327</v>
      </c>
      <c r="E238" s="9">
        <v>40.42</v>
      </c>
      <c r="F238" s="16">
        <f t="shared" si="18"/>
        <v>-2.2513607125185641E-2</v>
      </c>
      <c r="J238" s="9">
        <v>20.13</v>
      </c>
      <c r="K238" s="9">
        <f t="shared" si="17"/>
        <v>28.181999999999995</v>
      </c>
      <c r="L238" s="16">
        <f t="shared" si="19"/>
        <v>0.40195869704066445</v>
      </c>
    </row>
    <row r="239" spans="1:12">
      <c r="A239" s="6" t="s">
        <v>3712</v>
      </c>
      <c r="B239" s="7"/>
      <c r="C239" s="7"/>
      <c r="D239" s="16"/>
      <c r="E239" s="9"/>
      <c r="J239" s="9"/>
      <c r="K239" s="9">
        <f t="shared" si="17"/>
        <v>0</v>
      </c>
      <c r="L239" s="16"/>
    </row>
    <row r="240" spans="1:12">
      <c r="A240" s="1" t="s">
        <v>3713</v>
      </c>
      <c r="B240" s="7">
        <v>35.450000000000003</v>
      </c>
      <c r="C240" s="7">
        <v>39.51</v>
      </c>
      <c r="D240" s="16">
        <f t="shared" si="15"/>
        <v>0.11452750352609295</v>
      </c>
      <c r="E240" s="9">
        <v>40.42</v>
      </c>
      <c r="F240" s="16">
        <f t="shared" si="18"/>
        <v>-2.2513607125185641E-2</v>
      </c>
      <c r="J240" s="9">
        <v>20.13</v>
      </c>
      <c r="K240" s="9">
        <f t="shared" si="17"/>
        <v>28.181999999999995</v>
      </c>
      <c r="L240" s="16">
        <f t="shared" si="19"/>
        <v>0.40195869704066445</v>
      </c>
    </row>
    <row r="241" spans="1:12">
      <c r="A241" s="1" t="s">
        <v>3714</v>
      </c>
      <c r="B241" s="7">
        <v>35.56</v>
      </c>
      <c r="C241" s="7">
        <v>39.51</v>
      </c>
      <c r="D241" s="16">
        <f t="shared" si="15"/>
        <v>0.11107986501687277</v>
      </c>
      <c r="E241" s="9">
        <v>40.42</v>
      </c>
      <c r="F241" s="16">
        <f t="shared" si="18"/>
        <v>-2.2513607125185641E-2</v>
      </c>
      <c r="J241" s="9">
        <v>20.13</v>
      </c>
      <c r="K241" s="9">
        <f t="shared" si="17"/>
        <v>28.181999999999995</v>
      </c>
      <c r="L241" s="16">
        <f t="shared" si="19"/>
        <v>0.40195869704066445</v>
      </c>
    </row>
    <row r="242" spans="1:12">
      <c r="A242" s="1" t="s">
        <v>3715</v>
      </c>
      <c r="B242" s="7">
        <v>35.78</v>
      </c>
      <c r="C242" s="7">
        <v>39.51</v>
      </c>
      <c r="D242" s="16">
        <f t="shared" si="15"/>
        <v>0.10424818334264943</v>
      </c>
      <c r="E242" s="9">
        <v>40.42</v>
      </c>
      <c r="F242" s="16">
        <f t="shared" si="18"/>
        <v>-2.2513607125185641E-2</v>
      </c>
      <c r="J242" s="9">
        <v>20.13</v>
      </c>
      <c r="K242" s="9">
        <f t="shared" si="17"/>
        <v>28.181999999999995</v>
      </c>
      <c r="L242" s="16">
        <f t="shared" si="19"/>
        <v>0.40195869704066445</v>
      </c>
    </row>
    <row r="243" spans="1:12">
      <c r="A243" s="6" t="s">
        <v>3716</v>
      </c>
      <c r="B243" s="7"/>
      <c r="C243" s="7"/>
      <c r="D243" s="16"/>
      <c r="E243" s="9"/>
      <c r="J243" s="9"/>
      <c r="K243" s="9">
        <f t="shared" si="17"/>
        <v>0</v>
      </c>
      <c r="L243" s="16"/>
    </row>
    <row r="244" spans="1:12" ht="25.5">
      <c r="A244" s="1" t="s">
        <v>3717</v>
      </c>
      <c r="B244" s="7"/>
      <c r="C244" s="7"/>
      <c r="D244" s="16"/>
      <c r="E244" s="9"/>
      <c r="J244" s="9"/>
      <c r="K244" s="9">
        <f t="shared" si="17"/>
        <v>0</v>
      </c>
      <c r="L244" s="16"/>
    </row>
    <row r="245" spans="1:12" ht="25.5">
      <c r="A245" s="1" t="s">
        <v>3718</v>
      </c>
      <c r="B245" s="7"/>
      <c r="C245" s="7"/>
      <c r="D245" s="16"/>
      <c r="E245" s="9"/>
      <c r="J245" s="9"/>
      <c r="K245" s="9">
        <f t="shared" si="17"/>
        <v>0</v>
      </c>
      <c r="L245" s="16"/>
    </row>
    <row r="246" spans="1:12">
      <c r="A246" s="1" t="s">
        <v>3719</v>
      </c>
      <c r="B246" s="7"/>
      <c r="C246" s="7"/>
      <c r="D246" s="16"/>
      <c r="E246" s="9"/>
      <c r="J246" s="9"/>
      <c r="K246" s="9">
        <f t="shared" si="17"/>
        <v>0</v>
      </c>
      <c r="L246" s="16"/>
    </row>
    <row r="247" spans="1:12">
      <c r="A247" s="6" t="s">
        <v>3720</v>
      </c>
      <c r="B247" s="7"/>
      <c r="C247" s="7"/>
      <c r="D247" s="16"/>
      <c r="E247" s="9"/>
      <c r="J247" s="9"/>
      <c r="K247" s="9">
        <f t="shared" si="17"/>
        <v>0</v>
      </c>
      <c r="L247" s="16"/>
    </row>
    <row r="248" spans="1:12">
      <c r="A248" s="1" t="s">
        <v>3721</v>
      </c>
      <c r="B248" s="7">
        <v>35.43</v>
      </c>
      <c r="C248" s="7">
        <v>39.51</v>
      </c>
      <c r="D248" s="16">
        <f t="shared" si="15"/>
        <v>0.11515664690939877</v>
      </c>
      <c r="E248" s="9">
        <v>40.42</v>
      </c>
      <c r="F248" s="16">
        <f t="shared" ref="F248:F275" si="20">(C248-E248)/E248</f>
        <v>-2.2513607125185641E-2</v>
      </c>
      <c r="J248" s="9">
        <v>20.13</v>
      </c>
      <c r="K248" s="9">
        <f t="shared" si="17"/>
        <v>28.181999999999995</v>
      </c>
      <c r="L248" s="16">
        <f t="shared" si="19"/>
        <v>0.40195869704066445</v>
      </c>
    </row>
    <row r="249" spans="1:12">
      <c r="A249" s="1" t="s">
        <v>3722</v>
      </c>
      <c r="B249" s="7">
        <v>35.450000000000003</v>
      </c>
      <c r="C249" s="7">
        <v>39.51</v>
      </c>
      <c r="D249" s="16">
        <f t="shared" si="15"/>
        <v>0.11452750352609295</v>
      </c>
      <c r="E249" s="9">
        <v>40.42</v>
      </c>
      <c r="F249" s="16">
        <f t="shared" si="20"/>
        <v>-2.2513607125185641E-2</v>
      </c>
      <c r="J249" s="9">
        <v>20.13</v>
      </c>
      <c r="K249" s="9">
        <f t="shared" si="17"/>
        <v>28.181999999999995</v>
      </c>
      <c r="L249" s="16">
        <f t="shared" si="19"/>
        <v>0.40195869704066445</v>
      </c>
    </row>
    <row r="250" spans="1:12" ht="89.25">
      <c r="A250" s="1" t="s">
        <v>3723</v>
      </c>
      <c r="B250" s="7">
        <v>35.729999999999997</v>
      </c>
      <c r="C250" s="7">
        <v>39.51</v>
      </c>
      <c r="D250" s="16">
        <f t="shared" si="15"/>
        <v>0.10579345088161213</v>
      </c>
      <c r="E250" s="9">
        <v>40.42</v>
      </c>
      <c r="F250" s="16">
        <f t="shared" si="20"/>
        <v>-2.2513607125185641E-2</v>
      </c>
      <c r="J250" s="9">
        <v>20.13</v>
      </c>
      <c r="K250" s="9">
        <f t="shared" si="17"/>
        <v>28.181999999999995</v>
      </c>
      <c r="L250" s="16">
        <f t="shared" si="19"/>
        <v>0.40195869704066445</v>
      </c>
    </row>
    <row r="251" spans="1:12">
      <c r="A251" s="1" t="s">
        <v>3724</v>
      </c>
      <c r="B251" s="7">
        <v>35.619999999999997</v>
      </c>
      <c r="C251" s="7">
        <v>39.51</v>
      </c>
      <c r="D251" s="16">
        <f t="shared" si="15"/>
        <v>0.10920830993823696</v>
      </c>
      <c r="E251" s="9">
        <v>40.42</v>
      </c>
      <c r="F251" s="16">
        <f t="shared" si="20"/>
        <v>-2.2513607125185641E-2</v>
      </c>
      <c r="J251" s="9">
        <v>20.13</v>
      </c>
      <c r="K251" s="9">
        <f t="shared" si="17"/>
        <v>28.181999999999995</v>
      </c>
      <c r="L251" s="16">
        <f t="shared" si="19"/>
        <v>0.40195869704066445</v>
      </c>
    </row>
    <row r="252" spans="1:12" ht="25.5">
      <c r="A252" s="1" t="s">
        <v>3725</v>
      </c>
      <c r="B252" s="7">
        <v>35.619999999999997</v>
      </c>
      <c r="C252" s="7">
        <v>39.51</v>
      </c>
      <c r="D252" s="16">
        <f t="shared" si="15"/>
        <v>0.10920830993823696</v>
      </c>
      <c r="E252" s="9">
        <v>40.42</v>
      </c>
      <c r="F252" s="16">
        <f t="shared" si="20"/>
        <v>-2.2513607125185641E-2</v>
      </c>
      <c r="J252" s="9">
        <v>20.13</v>
      </c>
      <c r="K252" s="9">
        <f t="shared" si="17"/>
        <v>28.181999999999995</v>
      </c>
      <c r="L252" s="16">
        <f t="shared" si="19"/>
        <v>0.40195869704066445</v>
      </c>
    </row>
    <row r="253" spans="1:12">
      <c r="A253" s="1" t="s">
        <v>3726</v>
      </c>
      <c r="B253" s="7">
        <v>35.619999999999997</v>
      </c>
      <c r="C253" s="7">
        <v>39.51</v>
      </c>
      <c r="D253" s="16">
        <f t="shared" si="15"/>
        <v>0.10920830993823696</v>
      </c>
      <c r="E253" s="9">
        <v>40.42</v>
      </c>
      <c r="F253" s="16">
        <f t="shared" si="20"/>
        <v>-2.2513607125185641E-2</v>
      </c>
      <c r="J253" s="9">
        <v>20.13</v>
      </c>
      <c r="K253" s="9">
        <f t="shared" si="17"/>
        <v>28.181999999999995</v>
      </c>
      <c r="L253" s="16">
        <f t="shared" si="19"/>
        <v>0.40195869704066445</v>
      </c>
    </row>
    <row r="254" spans="1:12">
      <c r="A254" s="1" t="s">
        <v>3727</v>
      </c>
      <c r="B254" s="7">
        <v>35.51</v>
      </c>
      <c r="C254" s="7">
        <v>39.51</v>
      </c>
      <c r="D254" s="16">
        <f t="shared" si="15"/>
        <v>0.11264432554210083</v>
      </c>
      <c r="E254" s="9">
        <v>40.42</v>
      </c>
      <c r="F254" s="16">
        <f t="shared" si="20"/>
        <v>-2.2513607125185641E-2</v>
      </c>
      <c r="J254" s="9">
        <v>20.13</v>
      </c>
      <c r="K254" s="9">
        <f t="shared" si="17"/>
        <v>28.181999999999995</v>
      </c>
      <c r="L254" s="16">
        <f t="shared" si="19"/>
        <v>0.40195869704066445</v>
      </c>
    </row>
    <row r="255" spans="1:12">
      <c r="A255" s="1" t="s">
        <v>3728</v>
      </c>
      <c r="B255" s="7">
        <v>33.340000000000003</v>
      </c>
      <c r="C255" s="7">
        <v>39.51</v>
      </c>
      <c r="D255" s="16">
        <f t="shared" si="15"/>
        <v>0.18506298740251931</v>
      </c>
      <c r="E255" s="9">
        <v>40.42</v>
      </c>
      <c r="F255" s="16">
        <f t="shared" si="20"/>
        <v>-2.2513607125185641E-2</v>
      </c>
      <c r="J255" s="9">
        <v>20.13</v>
      </c>
      <c r="K255" s="9">
        <f t="shared" si="17"/>
        <v>28.181999999999995</v>
      </c>
      <c r="L255" s="16">
        <f t="shared" si="19"/>
        <v>0.40195869704066445</v>
      </c>
    </row>
    <row r="256" spans="1:12">
      <c r="A256" s="6" t="s">
        <v>3729</v>
      </c>
      <c r="B256" s="7"/>
      <c r="C256" s="7"/>
      <c r="D256" s="16"/>
      <c r="E256" s="9"/>
      <c r="J256" s="9"/>
      <c r="K256" s="9">
        <f t="shared" si="17"/>
        <v>0</v>
      </c>
      <c r="L256" s="16"/>
    </row>
    <row r="257" spans="1:12">
      <c r="A257" s="1" t="s">
        <v>3730</v>
      </c>
      <c r="B257" s="7">
        <v>35.07</v>
      </c>
      <c r="C257" s="7">
        <v>39.51</v>
      </c>
      <c r="D257" s="16">
        <f t="shared" si="15"/>
        <v>0.12660393498716846</v>
      </c>
      <c r="E257" s="9">
        <v>40.42</v>
      </c>
      <c r="F257" s="16">
        <f t="shared" si="20"/>
        <v>-2.2513607125185641E-2</v>
      </c>
      <c r="J257" s="9">
        <v>20.13</v>
      </c>
      <c r="K257" s="9">
        <f t="shared" si="17"/>
        <v>28.181999999999995</v>
      </c>
      <c r="L257" s="16">
        <f t="shared" si="19"/>
        <v>0.40195869704066445</v>
      </c>
    </row>
    <row r="258" spans="1:12">
      <c r="A258" s="1" t="s">
        <v>3731</v>
      </c>
      <c r="B258" s="7">
        <v>35.18</v>
      </c>
      <c r="C258" s="7">
        <v>39.51</v>
      </c>
      <c r="D258" s="16">
        <f t="shared" si="15"/>
        <v>0.12308129619101757</v>
      </c>
      <c r="E258" s="9">
        <v>40.42</v>
      </c>
      <c r="F258" s="16">
        <f t="shared" si="20"/>
        <v>-2.2513607125185641E-2</v>
      </c>
      <c r="J258" s="9">
        <v>20.13</v>
      </c>
      <c r="K258" s="9">
        <f t="shared" si="17"/>
        <v>28.181999999999995</v>
      </c>
      <c r="L258" s="16">
        <f t="shared" si="19"/>
        <v>0.40195869704066445</v>
      </c>
    </row>
    <row r="259" spans="1:12" ht="25.5">
      <c r="A259" s="1" t="s">
        <v>3732</v>
      </c>
      <c r="B259" s="7">
        <v>49.66</v>
      </c>
      <c r="C259" s="7">
        <v>39.51</v>
      </c>
      <c r="D259" s="16">
        <f t="shared" si="15"/>
        <v>-0.20438985098670961</v>
      </c>
      <c r="E259" s="9">
        <v>40.42</v>
      </c>
      <c r="F259" s="16">
        <f t="shared" si="20"/>
        <v>-2.2513607125185641E-2</v>
      </c>
      <c r="J259" s="9">
        <v>20.13</v>
      </c>
      <c r="K259" s="9">
        <f t="shared" si="17"/>
        <v>28.181999999999995</v>
      </c>
      <c r="L259" s="16">
        <f t="shared" si="19"/>
        <v>0.40195869704066445</v>
      </c>
    </row>
    <row r="260" spans="1:12">
      <c r="A260" s="1" t="s">
        <v>3733</v>
      </c>
      <c r="B260" s="7">
        <v>35.29</v>
      </c>
      <c r="C260" s="7">
        <v>39.51</v>
      </c>
      <c r="D260" s="16">
        <f t="shared" si="15"/>
        <v>0.11958061773873616</v>
      </c>
      <c r="E260" s="9">
        <v>40.42</v>
      </c>
      <c r="F260" s="16">
        <f t="shared" si="20"/>
        <v>-2.2513607125185641E-2</v>
      </c>
      <c r="J260" s="9">
        <v>20.13</v>
      </c>
      <c r="K260" s="9">
        <f t="shared" si="17"/>
        <v>28.181999999999995</v>
      </c>
      <c r="L260" s="16">
        <f t="shared" si="19"/>
        <v>0.40195869704066445</v>
      </c>
    </row>
    <row r="261" spans="1:12">
      <c r="A261" s="6" t="s">
        <v>3734</v>
      </c>
      <c r="B261" s="7"/>
      <c r="C261" s="7"/>
      <c r="D261" s="16"/>
      <c r="E261" s="9"/>
      <c r="J261" s="9"/>
      <c r="K261" s="9">
        <f t="shared" si="17"/>
        <v>0</v>
      </c>
      <c r="L261" s="16"/>
    </row>
    <row r="262" spans="1:12">
      <c r="A262" s="1" t="s">
        <v>3735</v>
      </c>
      <c r="B262" s="7">
        <v>35.18</v>
      </c>
      <c r="C262" s="7">
        <v>39.51</v>
      </c>
      <c r="D262" s="16">
        <f t="shared" ref="D262:D287" si="21">(C262-B262)/B262</f>
        <v>0.12308129619101757</v>
      </c>
      <c r="E262" s="9">
        <v>40.42</v>
      </c>
      <c r="F262" s="16">
        <f t="shared" si="20"/>
        <v>-2.2513607125185641E-2</v>
      </c>
      <c r="J262" s="9">
        <v>20.13</v>
      </c>
      <c r="K262" s="9">
        <f t="shared" si="17"/>
        <v>28.181999999999995</v>
      </c>
      <c r="L262" s="16">
        <f t="shared" si="19"/>
        <v>0.40195869704066445</v>
      </c>
    </row>
    <row r="263" spans="1:12">
      <c r="A263" s="1" t="s">
        <v>3736</v>
      </c>
      <c r="B263" s="7">
        <v>35.29</v>
      </c>
      <c r="C263" s="7">
        <v>39.51</v>
      </c>
      <c r="D263" s="16">
        <f t="shared" si="21"/>
        <v>0.11958061773873616</v>
      </c>
      <c r="E263" s="9">
        <v>40.42</v>
      </c>
      <c r="F263" s="16">
        <f t="shared" si="20"/>
        <v>-2.2513607125185641E-2</v>
      </c>
      <c r="J263" s="9">
        <v>20.13</v>
      </c>
      <c r="K263" s="9">
        <f t="shared" si="17"/>
        <v>28.181999999999995</v>
      </c>
      <c r="L263" s="16">
        <f t="shared" si="19"/>
        <v>0.40195869704066445</v>
      </c>
    </row>
    <row r="264" spans="1:12">
      <c r="A264" s="1" t="s">
        <v>3737</v>
      </c>
      <c r="B264" s="7">
        <v>35.130000000000003</v>
      </c>
      <c r="C264" s="7">
        <v>39.51</v>
      </c>
      <c r="D264" s="16">
        <f t="shared" si="21"/>
        <v>0.12467976088812967</v>
      </c>
      <c r="E264" s="9">
        <v>40.42</v>
      </c>
      <c r="F264" s="16">
        <f t="shared" si="20"/>
        <v>-2.2513607125185641E-2</v>
      </c>
      <c r="J264" s="9">
        <v>20.13</v>
      </c>
      <c r="K264" s="9">
        <f t="shared" si="17"/>
        <v>28.181999999999995</v>
      </c>
      <c r="L264" s="16">
        <f t="shared" si="19"/>
        <v>0.40195869704066445</v>
      </c>
    </row>
    <row r="265" spans="1:12">
      <c r="A265" s="1" t="s">
        <v>3738</v>
      </c>
      <c r="B265" s="7">
        <v>35.24</v>
      </c>
      <c r="C265" s="7">
        <v>39.51</v>
      </c>
      <c r="D265" s="16">
        <f t="shared" si="21"/>
        <v>0.12116912599318944</v>
      </c>
      <c r="E265" s="9">
        <v>40.42</v>
      </c>
      <c r="F265" s="16">
        <f t="shared" si="20"/>
        <v>-2.2513607125185641E-2</v>
      </c>
      <c r="J265" s="9">
        <v>20.13</v>
      </c>
      <c r="K265" s="9">
        <f t="shared" si="17"/>
        <v>28.181999999999995</v>
      </c>
      <c r="L265" s="16">
        <f t="shared" si="19"/>
        <v>0.40195869704066445</v>
      </c>
    </row>
    <row r="266" spans="1:12">
      <c r="A266" s="1" t="s">
        <v>3739</v>
      </c>
      <c r="B266" s="7">
        <v>35.450000000000003</v>
      </c>
      <c r="C266" s="7">
        <v>39.51</v>
      </c>
      <c r="D266" s="16">
        <f t="shared" si="21"/>
        <v>0.11452750352609295</v>
      </c>
      <c r="E266" s="9">
        <v>40.42</v>
      </c>
      <c r="F266" s="16">
        <f t="shared" si="20"/>
        <v>-2.2513607125185641E-2</v>
      </c>
      <c r="J266" s="9">
        <v>20.13</v>
      </c>
      <c r="K266" s="9">
        <f t="shared" si="17"/>
        <v>28.181999999999995</v>
      </c>
      <c r="L266" s="16">
        <f t="shared" si="19"/>
        <v>0.40195869704066445</v>
      </c>
    </row>
    <row r="267" spans="1:12">
      <c r="A267" s="1" t="s">
        <v>3740</v>
      </c>
      <c r="B267" s="7">
        <v>35.78</v>
      </c>
      <c r="C267" s="7">
        <v>39.51</v>
      </c>
      <c r="D267" s="16">
        <f t="shared" si="21"/>
        <v>0.10424818334264943</v>
      </c>
      <c r="E267" s="9">
        <v>40.42</v>
      </c>
      <c r="F267" s="16">
        <f t="shared" si="20"/>
        <v>-2.2513607125185641E-2</v>
      </c>
      <c r="J267" s="9">
        <v>20.13</v>
      </c>
      <c r="K267" s="9">
        <f t="shared" si="17"/>
        <v>28.181999999999995</v>
      </c>
      <c r="L267" s="16">
        <f t="shared" si="19"/>
        <v>0.40195869704066445</v>
      </c>
    </row>
    <row r="268" spans="1:12">
      <c r="A268" s="1" t="s">
        <v>3741</v>
      </c>
      <c r="B268" s="7">
        <v>33.14</v>
      </c>
      <c r="C268" s="7">
        <v>39.51</v>
      </c>
      <c r="D268" s="16">
        <f t="shared" si="21"/>
        <v>0.19221484610742298</v>
      </c>
      <c r="E268" s="9">
        <v>40.42</v>
      </c>
      <c r="F268" s="16">
        <f t="shared" si="20"/>
        <v>-2.2513607125185641E-2</v>
      </c>
      <c r="J268" s="9">
        <v>20.13</v>
      </c>
      <c r="K268" s="9">
        <f t="shared" si="17"/>
        <v>28.181999999999995</v>
      </c>
      <c r="L268" s="16">
        <f t="shared" si="19"/>
        <v>0.40195869704066445</v>
      </c>
    </row>
    <row r="269" spans="1:12" ht="25.5">
      <c r="A269" s="1" t="s">
        <v>3742</v>
      </c>
      <c r="B269" s="7">
        <v>35.130000000000003</v>
      </c>
      <c r="C269" s="7">
        <v>39.51</v>
      </c>
      <c r="D269" s="16">
        <f t="shared" si="21"/>
        <v>0.12467976088812967</v>
      </c>
      <c r="E269" s="9">
        <v>40.42</v>
      </c>
      <c r="F269" s="16">
        <f t="shared" si="20"/>
        <v>-2.2513607125185641E-2</v>
      </c>
      <c r="J269" s="9">
        <v>20.13</v>
      </c>
      <c r="K269" s="9">
        <f t="shared" si="17"/>
        <v>28.181999999999995</v>
      </c>
      <c r="L269" s="16">
        <f t="shared" si="19"/>
        <v>0.40195869704066445</v>
      </c>
    </row>
    <row r="270" spans="1:12">
      <c r="A270" s="1" t="s">
        <v>3743</v>
      </c>
      <c r="B270" s="7">
        <v>35.18</v>
      </c>
      <c r="C270" s="7">
        <v>39.51</v>
      </c>
      <c r="D270" s="16">
        <f t="shared" si="21"/>
        <v>0.12308129619101757</v>
      </c>
      <c r="E270" s="9">
        <v>40.42</v>
      </c>
      <c r="F270" s="16">
        <f t="shared" si="20"/>
        <v>-2.2513607125185641E-2</v>
      </c>
      <c r="J270" s="9">
        <v>20.13</v>
      </c>
      <c r="K270" s="9">
        <f t="shared" si="17"/>
        <v>28.181999999999995</v>
      </c>
      <c r="L270" s="16">
        <f t="shared" si="19"/>
        <v>0.40195869704066445</v>
      </c>
    </row>
    <row r="271" spans="1:12">
      <c r="A271" s="1" t="s">
        <v>3744</v>
      </c>
      <c r="B271" s="7">
        <v>35.18</v>
      </c>
      <c r="C271" s="7">
        <v>39.51</v>
      </c>
      <c r="D271" s="16">
        <f t="shared" si="21"/>
        <v>0.12308129619101757</v>
      </c>
      <c r="E271" s="9">
        <v>40.42</v>
      </c>
      <c r="F271" s="16">
        <f t="shared" si="20"/>
        <v>-2.2513607125185641E-2</v>
      </c>
      <c r="J271" s="9">
        <v>20.13</v>
      </c>
      <c r="K271" s="9">
        <f t="shared" si="17"/>
        <v>28.181999999999995</v>
      </c>
      <c r="L271" s="16">
        <f t="shared" si="19"/>
        <v>0.40195869704066445</v>
      </c>
    </row>
    <row r="272" spans="1:12">
      <c r="A272" s="1" t="s">
        <v>3745</v>
      </c>
      <c r="B272" s="7">
        <v>35.18</v>
      </c>
      <c r="C272" s="7">
        <v>39.51</v>
      </c>
      <c r="D272" s="16">
        <f t="shared" si="21"/>
        <v>0.12308129619101757</v>
      </c>
      <c r="E272" s="9">
        <v>40.42</v>
      </c>
      <c r="F272" s="16">
        <f t="shared" si="20"/>
        <v>-2.2513607125185641E-2</v>
      </c>
      <c r="J272" s="9">
        <v>20.13</v>
      </c>
      <c r="K272" s="9">
        <f t="shared" si="17"/>
        <v>28.181999999999995</v>
      </c>
      <c r="L272" s="16">
        <f t="shared" si="19"/>
        <v>0.40195869704066445</v>
      </c>
    </row>
    <row r="273" spans="1:12">
      <c r="A273" s="1" t="s">
        <v>3746</v>
      </c>
      <c r="B273" s="7">
        <v>35.619999999999997</v>
      </c>
      <c r="C273" s="7">
        <v>39.51</v>
      </c>
      <c r="D273" s="16">
        <f t="shared" si="21"/>
        <v>0.10920830993823696</v>
      </c>
      <c r="E273" s="9">
        <v>40.42</v>
      </c>
      <c r="F273" s="16">
        <f t="shared" si="20"/>
        <v>-2.2513607125185641E-2</v>
      </c>
      <c r="J273" s="9">
        <v>20.13</v>
      </c>
      <c r="K273" s="9">
        <f t="shared" si="17"/>
        <v>28.181999999999995</v>
      </c>
      <c r="L273" s="16">
        <f t="shared" si="19"/>
        <v>0.40195869704066445</v>
      </c>
    </row>
    <row r="274" spans="1:12">
      <c r="A274" s="1" t="s">
        <v>3747</v>
      </c>
      <c r="B274" s="7">
        <v>36.04</v>
      </c>
      <c r="C274" s="7">
        <v>39.51</v>
      </c>
      <c r="D274" s="16">
        <f t="shared" si="21"/>
        <v>9.6281908990011073E-2</v>
      </c>
      <c r="E274" s="9">
        <v>40.42</v>
      </c>
      <c r="F274" s="16">
        <f t="shared" si="20"/>
        <v>-2.2513607125185641E-2</v>
      </c>
      <c r="J274" s="9">
        <v>20.13</v>
      </c>
      <c r="K274" s="9">
        <f t="shared" si="17"/>
        <v>28.181999999999995</v>
      </c>
      <c r="L274" s="16">
        <f t="shared" si="19"/>
        <v>0.40195869704066445</v>
      </c>
    </row>
    <row r="275" spans="1:12">
      <c r="A275" s="2" t="s">
        <v>3748</v>
      </c>
      <c r="B275" s="10">
        <f>B274+0.5</f>
        <v>36.54</v>
      </c>
      <c r="C275" s="10">
        <f>C274+0.5</f>
        <v>40.01</v>
      </c>
      <c r="D275" s="16">
        <f t="shared" si="21"/>
        <v>9.4964422550629424E-2</v>
      </c>
      <c r="E275" s="9">
        <v>40.92</v>
      </c>
      <c r="F275" s="16">
        <f t="shared" si="20"/>
        <v>-2.2238514173998133E-2</v>
      </c>
      <c r="J275" s="9">
        <v>20.13</v>
      </c>
      <c r="K275" s="9">
        <f t="shared" si="17"/>
        <v>28.181999999999995</v>
      </c>
      <c r="L275" s="16">
        <f t="shared" si="19"/>
        <v>0.41970051806117398</v>
      </c>
    </row>
    <row r="276" spans="1:12">
      <c r="A276" s="1"/>
      <c r="B276" s="7"/>
      <c r="C276" s="7"/>
      <c r="D276" s="16"/>
      <c r="E276" s="9"/>
      <c r="J276" s="9"/>
      <c r="K276" s="9">
        <f t="shared" si="17"/>
        <v>0</v>
      </c>
      <c r="L276" s="16"/>
    </row>
    <row r="277" spans="1:12">
      <c r="A277" s="2" t="s">
        <v>3666</v>
      </c>
      <c r="B277" s="7"/>
      <c r="C277" s="8" t="s">
        <v>3498</v>
      </c>
      <c r="D277" s="43"/>
      <c r="E277" s="44"/>
      <c r="F277" s="8"/>
      <c r="G277" s="23" t="s">
        <v>3984</v>
      </c>
      <c r="H277" s="8"/>
      <c r="I277" s="43">
        <f>AVERAGE(F278)</f>
        <v>0</v>
      </c>
      <c r="J277" s="44"/>
      <c r="K277" s="9">
        <f t="shared" si="17"/>
        <v>0</v>
      </c>
      <c r="L277" s="43"/>
    </row>
    <row r="278" spans="1:12">
      <c r="A278" s="1" t="s">
        <v>3928</v>
      </c>
      <c r="B278" s="7">
        <v>31.91</v>
      </c>
      <c r="C278" s="7">
        <v>22.34</v>
      </c>
      <c r="D278" s="16">
        <f t="shared" si="21"/>
        <v>-0.2999059855844563</v>
      </c>
      <c r="E278" s="9">
        <v>22.34</v>
      </c>
      <c r="F278" s="16">
        <f>(C278-E278)/E278</f>
        <v>0</v>
      </c>
      <c r="J278" s="9"/>
      <c r="K278" s="9">
        <f t="shared" ref="K278:K287" si="22">J278*1.4</f>
        <v>0</v>
      </c>
      <c r="L278" s="16"/>
    </row>
    <row r="279" spans="1:12">
      <c r="A279" s="1"/>
      <c r="B279" s="7"/>
      <c r="C279" s="7"/>
      <c r="D279" s="16"/>
      <c r="E279" s="9"/>
      <c r="J279" s="9"/>
      <c r="K279" s="9">
        <f t="shared" si="22"/>
        <v>0</v>
      </c>
      <c r="L279" s="16"/>
    </row>
    <row r="280" spans="1:12" ht="63.75">
      <c r="A280" s="2" t="s">
        <v>3668</v>
      </c>
      <c r="B280" s="12" t="s">
        <v>3649</v>
      </c>
      <c r="C280" s="12" t="s">
        <v>3649</v>
      </c>
      <c r="D280" s="43"/>
      <c r="E280" s="44"/>
      <c r="F280" s="8"/>
      <c r="G280" s="23" t="s">
        <v>3983</v>
      </c>
      <c r="H280" s="43">
        <f>AVERAGE(F281)</f>
        <v>2.1562766865926515E-2</v>
      </c>
      <c r="I280" s="8"/>
      <c r="J280" s="44"/>
      <c r="K280" s="9">
        <f t="shared" si="22"/>
        <v>0</v>
      </c>
      <c r="L280" s="43"/>
    </row>
    <row r="281" spans="1:12" ht="25.5">
      <c r="A281" s="1" t="s">
        <v>3670</v>
      </c>
      <c r="B281" s="7">
        <v>46.1</v>
      </c>
      <c r="C281" s="7">
        <v>47.85</v>
      </c>
      <c r="D281" s="16">
        <f t="shared" si="21"/>
        <v>3.7960954446854663E-2</v>
      </c>
      <c r="E281" s="9">
        <v>46.84</v>
      </c>
      <c r="F281" s="16">
        <f>(C281-E281)/E281</f>
        <v>2.1562766865926515E-2</v>
      </c>
      <c r="J281" s="9"/>
      <c r="K281" s="9">
        <f t="shared" si="22"/>
        <v>0</v>
      </c>
      <c r="L281" s="16"/>
    </row>
    <row r="282" spans="1:12">
      <c r="A282" s="1"/>
      <c r="B282" s="7"/>
      <c r="C282" s="7"/>
      <c r="D282" s="16"/>
      <c r="E282" s="9"/>
      <c r="J282" s="9"/>
      <c r="K282" s="9">
        <f t="shared" si="22"/>
        <v>0</v>
      </c>
      <c r="L282" s="16"/>
    </row>
    <row r="283" spans="1:12">
      <c r="A283" s="2" t="s">
        <v>3671</v>
      </c>
      <c r="B283" s="7"/>
      <c r="C283" s="8" t="s">
        <v>3487</v>
      </c>
      <c r="D283" s="43"/>
      <c r="E283" s="44"/>
      <c r="F283" s="8"/>
      <c r="G283" s="23" t="s">
        <v>3983</v>
      </c>
      <c r="H283" s="43">
        <f>AVERAGE(F284)</f>
        <v>-2.9934847684451788E-3</v>
      </c>
      <c r="I283" s="8"/>
      <c r="J283" s="44"/>
      <c r="K283" s="9">
        <f t="shared" si="22"/>
        <v>0</v>
      </c>
      <c r="L283" s="43"/>
    </row>
    <row r="284" spans="1:12">
      <c r="A284" s="1" t="s">
        <v>3672</v>
      </c>
      <c r="B284" s="7">
        <v>45.65</v>
      </c>
      <c r="C284" s="7">
        <v>56.62</v>
      </c>
      <c r="D284" s="16">
        <f t="shared" si="21"/>
        <v>0.24030668127053667</v>
      </c>
      <c r="E284" s="9">
        <v>56.79</v>
      </c>
      <c r="F284" s="16">
        <f>(C284-E284)/E284</f>
        <v>-2.9934847684451788E-3</v>
      </c>
      <c r="J284" s="9"/>
      <c r="K284" s="9">
        <f t="shared" si="22"/>
        <v>0</v>
      </c>
      <c r="L284" s="16"/>
    </row>
    <row r="285" spans="1:12">
      <c r="A285" s="1"/>
      <c r="B285" s="7"/>
      <c r="C285" s="7"/>
      <c r="D285" s="16"/>
      <c r="E285" s="9"/>
      <c r="J285" s="9"/>
      <c r="K285" s="9">
        <f t="shared" si="22"/>
        <v>0</v>
      </c>
      <c r="L285" s="16"/>
    </row>
    <row r="286" spans="1:12">
      <c r="A286" s="2" t="s">
        <v>3673</v>
      </c>
      <c r="B286" s="7"/>
      <c r="C286" s="8"/>
      <c r="D286" s="43"/>
      <c r="E286" s="44"/>
      <c r="F286" s="8"/>
      <c r="G286" s="23"/>
      <c r="H286" s="43">
        <f>AVERAGE(F287)</f>
        <v>-2.9934847684451788E-3</v>
      </c>
      <c r="I286" s="8"/>
      <c r="J286" s="44"/>
      <c r="K286" s="9">
        <f t="shared" si="22"/>
        <v>0</v>
      </c>
      <c r="L286" s="43"/>
    </row>
    <row r="287" spans="1:12">
      <c r="A287" s="1" t="s">
        <v>3674</v>
      </c>
      <c r="B287" s="7">
        <v>45.65</v>
      </c>
      <c r="C287" s="7">
        <v>56.62</v>
      </c>
      <c r="D287" s="16">
        <f t="shared" si="21"/>
        <v>0.24030668127053667</v>
      </c>
      <c r="E287" s="9">
        <v>56.79</v>
      </c>
      <c r="F287" s="16">
        <f>(C287-E287)/E287</f>
        <v>-2.9934847684451788E-3</v>
      </c>
      <c r="J287" s="9"/>
      <c r="K287" s="9">
        <f t="shared" si="22"/>
        <v>0</v>
      </c>
      <c r="L287" s="16"/>
    </row>
    <row r="289" spans="1:7">
      <c r="A289" s="8" t="s">
        <v>3988</v>
      </c>
      <c r="B289" s="7"/>
      <c r="D289" s="16"/>
      <c r="E289" s="9"/>
      <c r="F289" s="16"/>
    </row>
    <row r="290" spans="1:7">
      <c r="A290" s="1" t="s">
        <v>3986</v>
      </c>
      <c r="B290" s="7"/>
      <c r="D290" s="16"/>
      <c r="E290" s="9"/>
      <c r="F290" s="16"/>
      <c r="G290" s="40">
        <f>COUNTIF(G4:G287,"Y")</f>
        <v>29</v>
      </c>
    </row>
    <row r="291" spans="1:7">
      <c r="A291" s="1" t="s">
        <v>3987</v>
      </c>
      <c r="B291" s="7"/>
      <c r="D291" s="16"/>
      <c r="E291" s="9"/>
      <c r="F291" s="16"/>
      <c r="G291" s="41">
        <f>COUNTIF(G4:G287,"N")</f>
        <v>9</v>
      </c>
    </row>
    <row r="292" spans="1:7">
      <c r="A292" s="8" t="s">
        <v>3985</v>
      </c>
      <c r="B292"/>
      <c r="E292" s="9"/>
      <c r="F292" s="16"/>
      <c r="G292" s="23">
        <f>SUM(G290:G291)</f>
        <v>38</v>
      </c>
    </row>
  </sheetData>
  <mergeCells count="23">
    <mergeCell ref="A165:B165"/>
    <mergeCell ref="A166:B166"/>
    <mergeCell ref="A227:B227"/>
    <mergeCell ref="A176:B176"/>
    <mergeCell ref="A180:B180"/>
    <mergeCell ref="B192:B193"/>
    <mergeCell ref="A224:B224"/>
    <mergeCell ref="C147:C148"/>
    <mergeCell ref="A79:B79"/>
    <mergeCell ref="B80:B82"/>
    <mergeCell ref="A97:B97"/>
    <mergeCell ref="A102:B102"/>
    <mergeCell ref="A108:B108"/>
    <mergeCell ref="B109:B110"/>
    <mergeCell ref="A129:B129"/>
    <mergeCell ref="B130:B131"/>
    <mergeCell ref="A146:B146"/>
    <mergeCell ref="B147:B148"/>
    <mergeCell ref="A26:B26"/>
    <mergeCell ref="A65:B65"/>
    <mergeCell ref="A69:B69"/>
    <mergeCell ref="C109:C110"/>
    <mergeCell ref="C130:C131"/>
  </mergeCells>
  <phoneticPr fontId="2" type="noConversion"/>
  <hyperlinks>
    <hyperlink ref="A1" r:id="rId1" display="http://www.laborcommissioner.com/10rates/elko.html"/>
    <hyperlink ref="B17" location="brick zone" display="brick zone"/>
    <hyperlink ref="B20" location="CARPENTER NORTH 08" display="CARPENTER NORTH 08"/>
    <hyperlink ref="B50" location="laborer zone" display="laborer zone"/>
    <hyperlink ref="B53" location="laborer zone" display="laborer zone"/>
    <hyperlink ref="B63" location="laborer zone" display="laborer zone"/>
    <hyperlink ref="B66" location="Hod Brick Zone" display="Hod Brick Zone"/>
    <hyperlink ref="B70" location="Hod Plaster Zone" display="Hod Plaster Zone"/>
    <hyperlink ref="B75" r:id="rId2" display="http://www.laborcommissioner.com/10rates/2010 Amendments/2010Amendment1.htm"/>
    <hyperlink ref="A81" location="LABORER GROUP" display="LABORER GROUP"/>
    <hyperlink ref="B80" location="laborer zone" display="laborer zone"/>
    <hyperlink ref="B98" r:id="rId3" display="http://www.laborcommissioner.com/10rates/2010 Amendments/2010Amendment2.htm"/>
    <hyperlink ref="A110" location="OP GROUPS" display="OP GROUPS"/>
    <hyperlink ref="B109" location="OP ZONE" display="OP ZONE"/>
    <hyperlink ref="A131" location="OP GROUP  STEEL" display="OP GROUP  STEEL"/>
    <hyperlink ref="B130" location="OP ZONE" display="OP ZONE"/>
    <hyperlink ref="A148" location="OP GROUP PILEDRIVER" display="OP GROUP PILEDRIVER"/>
    <hyperlink ref="B147" location="OP ZONE" display="OP ZONE"/>
    <hyperlink ref="B181" location="PLAS ZONE" display="PLAS ZONE"/>
    <hyperlink ref="B222" location="laborer zone" display="laborer zone"/>
    <hyperlink ref="B225" location="Truck Zone" display="Truck Zone"/>
    <hyperlink ref="B280" location="OP ZONE" display="OP ZONE"/>
    <hyperlink ref="C130" location="OP ZONE" display="OP ZONE"/>
    <hyperlink ref="C147" location="OP ZONE" display="OP ZONE"/>
    <hyperlink ref="B210" location="TILE 09" display="TILE 09"/>
    <hyperlink ref="B213" location="TILE 09" display="TILE 09"/>
    <hyperlink ref="C222" location="laborer zone" display="laborer zone"/>
    <hyperlink ref="C225" location="Truck Zone" display="Truck Zone"/>
    <hyperlink ref="C280" location="OP ZONE" display="OP ZONE"/>
  </hyperlinks>
  <pageMargins left="0.3" right="0.3" top="0.5" bottom="0.5" header="0.5" footer="0.5"/>
  <pageSetup orientation="landscape" r:id="rId4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2"/>
  <sheetViews>
    <sheetView workbookViewId="0">
      <selection activeCell="M1" sqref="M1:M1048576"/>
    </sheetView>
  </sheetViews>
  <sheetFormatPr defaultRowHeight="12.75"/>
  <cols>
    <col min="1" max="1" width="37" customWidth="1"/>
    <col min="2" max="2" width="9.85546875" style="9" customWidth="1"/>
    <col min="3" max="3" width="9.5703125" style="9" customWidth="1"/>
    <col min="4" max="4" width="10.42578125" customWidth="1"/>
    <col min="6" max="6" width="18.85546875" customWidth="1"/>
    <col min="7" max="7" width="7.7109375" customWidth="1"/>
    <col min="8" max="8" width="10.7109375" customWidth="1"/>
    <col min="9" max="9" width="12.28515625" customWidth="1"/>
    <col min="10" max="10" width="7.42578125" customWidth="1"/>
    <col min="11" max="11" width="14.85546875" customWidth="1"/>
    <col min="12" max="12" width="10" customWidth="1"/>
  </cols>
  <sheetData>
    <row r="1" spans="1:12" ht="42.75" customHeight="1">
      <c r="A1" s="48" t="s">
        <v>4033</v>
      </c>
      <c r="B1" s="23" t="s">
        <v>5363</v>
      </c>
      <c r="C1" s="23" t="s">
        <v>5364</v>
      </c>
      <c r="D1" s="22" t="s">
        <v>5361</v>
      </c>
      <c r="E1" s="22" t="s">
        <v>5362</v>
      </c>
      <c r="F1" s="39" t="s">
        <v>5365</v>
      </c>
      <c r="G1" s="22" t="s">
        <v>3982</v>
      </c>
      <c r="H1" s="22" t="s">
        <v>3491</v>
      </c>
      <c r="I1" s="22" t="s">
        <v>3494</v>
      </c>
      <c r="J1" s="22" t="s">
        <v>5366</v>
      </c>
      <c r="K1" s="22" t="s">
        <v>5371</v>
      </c>
      <c r="L1" s="22" t="s">
        <v>5367</v>
      </c>
    </row>
    <row r="2" spans="1:12">
      <c r="A2" s="29" t="s">
        <v>3980</v>
      </c>
      <c r="B2" s="30"/>
      <c r="C2" s="30"/>
      <c r="D2" s="21">
        <f>AVERAGE(D4:D327)</f>
        <v>-2.4987542224633473E-2</v>
      </c>
      <c r="F2" s="21">
        <f>AVERAGE(F4:F327)</f>
        <v>5.8984353764401733E-2</v>
      </c>
      <c r="H2" s="21">
        <f>AVERAGE(H4:H327)</f>
        <v>0.11683742840735285</v>
      </c>
      <c r="I2" s="21">
        <f>AVERAGE(I4:I327)</f>
        <v>-2.6666502498200746E-2</v>
      </c>
    </row>
    <row r="4" spans="1:12" ht="25.5" customHeight="1">
      <c r="A4" s="2" t="s">
        <v>3500</v>
      </c>
      <c r="B4" s="12" t="s">
        <v>3501</v>
      </c>
      <c r="C4" s="8" t="s">
        <v>3981</v>
      </c>
      <c r="D4" s="8"/>
      <c r="E4" s="8"/>
      <c r="F4" s="8"/>
      <c r="G4" s="23" t="s">
        <v>3983</v>
      </c>
      <c r="H4" s="43">
        <f>AVERAGE(F5:F7)</f>
        <v>0.10617326647068999</v>
      </c>
      <c r="I4" s="8"/>
      <c r="J4" s="44"/>
      <c r="K4" s="44"/>
      <c r="L4" s="43"/>
    </row>
    <row r="5" spans="1:12" ht="12.75" customHeight="1">
      <c r="A5" s="1" t="s">
        <v>3750</v>
      </c>
      <c r="B5" s="7">
        <v>58.52</v>
      </c>
      <c r="C5" s="9">
        <v>59.52</v>
      </c>
      <c r="D5" s="16">
        <f>(C5-B5)/B5</f>
        <v>1.7088174982911822E-2</v>
      </c>
      <c r="E5" s="9">
        <v>57.83</v>
      </c>
      <c r="F5" s="16">
        <f>(C5-E5)/E5</f>
        <v>2.9223586373854485E-2</v>
      </c>
      <c r="G5" s="40"/>
      <c r="H5" s="16"/>
      <c r="I5" s="16"/>
      <c r="J5" s="9"/>
      <c r="K5" s="9"/>
      <c r="L5" s="16"/>
    </row>
    <row r="6" spans="1:12" ht="12.75" customHeight="1">
      <c r="A6" s="1" t="s">
        <v>3751</v>
      </c>
      <c r="B6" s="7">
        <v>62.95</v>
      </c>
      <c r="C6" s="9">
        <v>63.97</v>
      </c>
      <c r="D6" s="16">
        <f>(C6-B6)/B6</f>
        <v>1.6203335980937188E-2</v>
      </c>
      <c r="E6" s="9">
        <v>57.83</v>
      </c>
      <c r="F6" s="16">
        <f>(C6-E6)/E6</f>
        <v>0.10617326647068996</v>
      </c>
      <c r="G6" s="40"/>
      <c r="H6" s="16"/>
      <c r="I6" s="16"/>
      <c r="J6" s="9"/>
      <c r="K6" s="9"/>
      <c r="L6" s="16"/>
    </row>
    <row r="7" spans="1:12" ht="12.75" customHeight="1">
      <c r="A7" s="1" t="s">
        <v>3752</v>
      </c>
      <c r="B7" s="7">
        <v>67.37</v>
      </c>
      <c r="C7" s="9">
        <v>68.42</v>
      </c>
      <c r="D7" s="16">
        <f>(C7-B7)/B7</f>
        <v>1.5585572213151211E-2</v>
      </c>
      <c r="E7" s="9">
        <v>57.83</v>
      </c>
      <c r="F7" s="16">
        <f>(C7-E7)/E7</f>
        <v>0.18312294656752556</v>
      </c>
      <c r="G7" s="40"/>
      <c r="H7" s="16"/>
      <c r="I7" s="16"/>
      <c r="J7" s="9"/>
      <c r="K7" s="9"/>
      <c r="L7" s="16"/>
    </row>
    <row r="8" spans="1:12">
      <c r="A8" s="1"/>
      <c r="B8" s="7"/>
      <c r="D8" s="15"/>
      <c r="E8" s="9"/>
      <c r="F8" s="16"/>
      <c r="G8" s="40"/>
      <c r="H8" s="16"/>
      <c r="I8" s="16"/>
      <c r="J8" s="9"/>
      <c r="K8" s="9"/>
      <c r="L8" s="16"/>
    </row>
    <row r="9" spans="1:12">
      <c r="A9" s="2" t="s">
        <v>3505</v>
      </c>
      <c r="B9" s="7"/>
      <c r="C9" s="8" t="s">
        <v>3487</v>
      </c>
      <c r="D9" s="28"/>
      <c r="E9" s="44"/>
      <c r="F9" s="43"/>
      <c r="G9" s="23" t="s">
        <v>3984</v>
      </c>
      <c r="H9" s="43"/>
      <c r="I9" s="43">
        <f>AVERAGE(F10)</f>
        <v>0</v>
      </c>
      <c r="J9" s="44"/>
      <c r="K9" s="44"/>
      <c r="L9" s="43"/>
    </row>
    <row r="10" spans="1:12" ht="12.75" customHeight="1">
      <c r="A10" s="1" t="s">
        <v>3675</v>
      </c>
      <c r="B10" s="7">
        <v>54.38</v>
      </c>
      <c r="C10" s="9">
        <v>22</v>
      </c>
      <c r="D10" s="16">
        <f>(C10-B10)/B10</f>
        <v>-0.59543949981610889</v>
      </c>
      <c r="E10" s="9">
        <v>22</v>
      </c>
      <c r="F10" s="16">
        <f>(C10-E10)/E10</f>
        <v>0</v>
      </c>
      <c r="G10" s="40"/>
      <c r="H10" s="16"/>
      <c r="I10" s="16"/>
      <c r="J10" s="9"/>
      <c r="K10" s="9"/>
      <c r="L10" s="16"/>
    </row>
    <row r="11" spans="1:12">
      <c r="A11" s="1"/>
      <c r="B11" s="7"/>
      <c r="D11" s="16"/>
      <c r="E11" s="9"/>
      <c r="F11" s="16"/>
      <c r="G11" s="40"/>
      <c r="H11" s="16"/>
      <c r="I11" s="16"/>
      <c r="J11" s="9"/>
      <c r="K11" s="9"/>
      <c r="L11" s="16"/>
    </row>
    <row r="12" spans="1:12" ht="12.75" customHeight="1">
      <c r="A12" s="2" t="s">
        <v>3507</v>
      </c>
      <c r="B12" s="7"/>
      <c r="C12" s="44" t="s">
        <v>3981</v>
      </c>
      <c r="D12" s="43"/>
      <c r="E12" s="44"/>
      <c r="F12" s="43"/>
      <c r="G12" s="23" t="s">
        <v>3983</v>
      </c>
      <c r="H12" s="43">
        <f>AVERAGE(F13)</f>
        <v>1.8693032596941044E-2</v>
      </c>
      <c r="I12" s="43"/>
      <c r="J12" s="44"/>
      <c r="K12" s="44"/>
      <c r="L12" s="43"/>
    </row>
    <row r="13" spans="1:12" ht="12.75" customHeight="1">
      <c r="A13" s="1" t="s">
        <v>3508</v>
      </c>
      <c r="B13" s="7">
        <v>59.5</v>
      </c>
      <c r="C13" s="9">
        <v>65.94</v>
      </c>
      <c r="D13" s="16">
        <f>(C13-B13)/B13</f>
        <v>0.10823529411764703</v>
      </c>
      <c r="E13" s="9">
        <v>64.73</v>
      </c>
      <c r="F13" s="16">
        <f>(C13-E13)/E13</f>
        <v>1.8693032596941044E-2</v>
      </c>
      <c r="G13" s="40"/>
      <c r="H13" s="16"/>
      <c r="I13" s="16"/>
      <c r="J13" s="9"/>
      <c r="K13" s="9"/>
      <c r="L13" s="16"/>
    </row>
    <row r="14" spans="1:12">
      <c r="A14" s="1"/>
      <c r="B14" s="7"/>
      <c r="D14" s="16"/>
      <c r="E14" s="9"/>
      <c r="F14" s="16"/>
      <c r="G14" s="40"/>
      <c r="H14" s="16"/>
      <c r="I14" s="16"/>
      <c r="J14" s="9"/>
      <c r="K14" s="9"/>
      <c r="L14" s="16"/>
    </row>
    <row r="15" spans="1:12" ht="12.75" customHeight="1">
      <c r="A15" s="2" t="s">
        <v>3509</v>
      </c>
      <c r="B15" s="12" t="s">
        <v>3754</v>
      </c>
      <c r="C15" s="44" t="s">
        <v>3496</v>
      </c>
      <c r="D15" s="43"/>
      <c r="E15" s="44"/>
      <c r="F15" s="43"/>
      <c r="G15" s="23" t="s">
        <v>3983</v>
      </c>
      <c r="H15" s="43">
        <f>AVERAGE(F16)</f>
        <v>-1.5848558221439553E-2</v>
      </c>
      <c r="I15" s="43"/>
      <c r="J15" s="44"/>
      <c r="K15" s="44"/>
      <c r="L15" s="43"/>
    </row>
    <row r="16" spans="1:12" ht="12.75" customHeight="1">
      <c r="A16" s="1" t="s">
        <v>3511</v>
      </c>
      <c r="B16" s="7">
        <v>45.46</v>
      </c>
      <c r="C16" s="9">
        <v>44.71</v>
      </c>
      <c r="D16" s="16">
        <f>(C16-B16)/B16</f>
        <v>-1.6498020237571492E-2</v>
      </c>
      <c r="E16" s="9">
        <v>45.43</v>
      </c>
      <c r="F16" s="16">
        <f>(C16-E16)/E16</f>
        <v>-1.5848558221439553E-2</v>
      </c>
      <c r="G16" s="40"/>
      <c r="H16" s="16"/>
      <c r="I16" s="16"/>
      <c r="J16" s="9"/>
      <c r="K16" s="9"/>
      <c r="L16" s="16"/>
    </row>
    <row r="17" spans="1:12">
      <c r="A17" s="1"/>
      <c r="B17" s="7"/>
      <c r="D17" s="16"/>
      <c r="E17" s="9"/>
      <c r="F17" s="16"/>
      <c r="G17" s="40"/>
      <c r="H17" s="16"/>
      <c r="I17" s="16"/>
      <c r="J17" s="9"/>
      <c r="K17" s="9"/>
      <c r="L17" s="16"/>
    </row>
    <row r="18" spans="1:12" ht="12.75" customHeight="1">
      <c r="A18" s="2" t="s">
        <v>3514</v>
      </c>
      <c r="B18" s="12" t="s">
        <v>3510</v>
      </c>
      <c r="C18" s="8" t="s">
        <v>3487</v>
      </c>
      <c r="D18" s="43"/>
      <c r="E18" s="44"/>
      <c r="F18" s="43"/>
      <c r="G18" s="23" t="s">
        <v>3983</v>
      </c>
      <c r="H18" s="43">
        <f>AVERAGE(F19:F22)</f>
        <v>-5.3063658044395466E-2</v>
      </c>
      <c r="I18" s="43"/>
      <c r="J18" s="44"/>
      <c r="K18" s="44"/>
      <c r="L18" s="43"/>
    </row>
    <row r="19" spans="1:12" ht="12.75" customHeight="1">
      <c r="A19" s="1" t="s">
        <v>3515</v>
      </c>
      <c r="B19" s="7">
        <v>48.7</v>
      </c>
      <c r="C19" s="9">
        <v>48.95</v>
      </c>
      <c r="D19" s="16">
        <f>(C19-B19)/B19</f>
        <v>5.1334702258726897E-3</v>
      </c>
      <c r="E19" s="9">
        <v>54.51</v>
      </c>
      <c r="F19" s="16">
        <f>(C19-E19)/E19</f>
        <v>-0.1019996330948449</v>
      </c>
      <c r="G19" s="40"/>
      <c r="H19" s="16"/>
      <c r="I19" s="16"/>
      <c r="J19" s="9"/>
      <c r="K19" s="9"/>
      <c r="L19" s="16"/>
    </row>
    <row r="20" spans="1:12" ht="12.75" customHeight="1">
      <c r="A20" s="1" t="s">
        <v>3755</v>
      </c>
      <c r="B20" s="7">
        <v>49.7</v>
      </c>
      <c r="C20" s="9">
        <v>49.95</v>
      </c>
      <c r="D20" s="16">
        <f>(C20-B20)/B20</f>
        <v>5.0301810865191147E-3</v>
      </c>
      <c r="E20" s="9">
        <v>54.51</v>
      </c>
      <c r="F20" s="16">
        <f>(C20-E20)/E20</f>
        <v>-8.3654375343973492E-2</v>
      </c>
      <c r="G20" s="40"/>
      <c r="H20" s="16"/>
      <c r="I20" s="16"/>
      <c r="J20" s="9"/>
      <c r="K20" s="9"/>
      <c r="L20" s="16"/>
    </row>
    <row r="21" spans="1:12" ht="12.75" customHeight="1">
      <c r="A21" s="1" t="s">
        <v>3516</v>
      </c>
      <c r="B21" s="7">
        <v>51.83</v>
      </c>
      <c r="C21" s="9">
        <v>52.08</v>
      </c>
      <c r="D21" s="16">
        <f>(C21-B21)/B21</f>
        <v>4.8234613158402474E-3</v>
      </c>
      <c r="E21" s="9">
        <v>54.51</v>
      </c>
      <c r="F21" s="16">
        <f>(C21-E21)/E21</f>
        <v>-4.45789763346175E-2</v>
      </c>
      <c r="G21" s="40"/>
      <c r="H21" s="16"/>
      <c r="I21" s="16"/>
      <c r="J21" s="9"/>
      <c r="K21" s="9"/>
      <c r="L21" s="16"/>
    </row>
    <row r="22" spans="1:12" ht="12.75" customHeight="1">
      <c r="A22" s="1" t="s">
        <v>3756</v>
      </c>
      <c r="B22" s="7">
        <v>55.24</v>
      </c>
      <c r="C22" s="9">
        <v>55.49</v>
      </c>
      <c r="D22" s="16">
        <f>(C22-B22)/B22</f>
        <v>4.5257060101375809E-3</v>
      </c>
      <c r="E22" s="9">
        <v>54.51</v>
      </c>
      <c r="F22" s="16">
        <f>(C22-E22)/E22</f>
        <v>1.7978352595854046E-2</v>
      </c>
      <c r="G22" s="40"/>
      <c r="H22" s="16"/>
      <c r="I22" s="16"/>
      <c r="J22" s="9"/>
      <c r="K22" s="9"/>
      <c r="L22" s="16"/>
    </row>
    <row r="23" spans="1:12">
      <c r="A23" s="1"/>
      <c r="B23" s="7"/>
      <c r="D23" s="16"/>
      <c r="E23" s="9"/>
      <c r="F23" s="16"/>
      <c r="G23" s="40"/>
      <c r="H23" s="16"/>
      <c r="I23" s="16"/>
      <c r="J23" s="9"/>
      <c r="K23" s="9"/>
      <c r="L23" s="16"/>
    </row>
    <row r="24" spans="1:12" ht="12.75" customHeight="1">
      <c r="A24" s="2" t="s">
        <v>3517</v>
      </c>
      <c r="B24" s="12" t="s">
        <v>3510</v>
      </c>
      <c r="C24" s="44" t="s">
        <v>3496</v>
      </c>
      <c r="D24" s="43"/>
      <c r="E24" s="44"/>
      <c r="F24" s="43"/>
      <c r="G24" s="23" t="s">
        <v>3983</v>
      </c>
      <c r="H24" s="43">
        <f>AVERAGE(F25:F27)</f>
        <v>0.40106589147286825</v>
      </c>
      <c r="I24" s="43"/>
      <c r="J24" s="44"/>
      <c r="K24" s="44"/>
      <c r="L24" s="43"/>
    </row>
    <row r="25" spans="1:12" ht="12.75" customHeight="1">
      <c r="A25" s="1" t="s">
        <v>3521</v>
      </c>
      <c r="B25" s="7">
        <v>46.28</v>
      </c>
      <c r="C25" s="9">
        <v>46.28</v>
      </c>
      <c r="D25" s="16">
        <f>(C25-B25)/B25</f>
        <v>0</v>
      </c>
      <c r="E25" s="9">
        <v>34.4</v>
      </c>
      <c r="F25" s="16">
        <f>(C25-E25)/E25</f>
        <v>0.34534883720930243</v>
      </c>
      <c r="G25" s="40"/>
      <c r="H25" s="16"/>
      <c r="I25" s="16"/>
      <c r="J25" s="9"/>
      <c r="K25" s="9"/>
      <c r="L25" s="16"/>
    </row>
    <row r="26" spans="1:12" ht="12.75" customHeight="1">
      <c r="A26" s="1" t="s">
        <v>3522</v>
      </c>
      <c r="B26" s="7">
        <v>48.28</v>
      </c>
      <c r="C26" s="9">
        <v>48.28</v>
      </c>
      <c r="D26" s="16">
        <f>(C26-B26)/B26</f>
        <v>0</v>
      </c>
      <c r="E26" s="9">
        <v>34.4</v>
      </c>
      <c r="F26" s="16">
        <f>(C26-E26)/E26</f>
        <v>0.40348837209302335</v>
      </c>
      <c r="G26" s="40"/>
      <c r="H26" s="16"/>
      <c r="I26" s="16"/>
      <c r="J26" s="9"/>
      <c r="K26" s="9"/>
      <c r="L26" s="16"/>
    </row>
    <row r="27" spans="1:12" ht="12.75" customHeight="1">
      <c r="A27" s="1" t="s">
        <v>3757</v>
      </c>
      <c r="B27" s="7">
        <v>50.03</v>
      </c>
      <c r="C27" s="9">
        <v>50.03</v>
      </c>
      <c r="D27" s="16">
        <f>(C27-B27)/B27</f>
        <v>0</v>
      </c>
      <c r="E27" s="9">
        <v>34.4</v>
      </c>
      <c r="F27" s="16">
        <f>(C27-E27)/E27</f>
        <v>0.45436046511627914</v>
      </c>
      <c r="G27" s="40"/>
      <c r="H27" s="16"/>
      <c r="I27" s="16"/>
      <c r="J27" s="9"/>
      <c r="K27" s="9"/>
      <c r="L27" s="16"/>
    </row>
    <row r="28" spans="1:12">
      <c r="A28" s="1"/>
      <c r="B28" s="7"/>
      <c r="D28" s="16"/>
      <c r="E28" s="9"/>
      <c r="F28" s="16"/>
      <c r="G28" s="40"/>
      <c r="H28" s="16"/>
      <c r="I28" s="16"/>
      <c r="J28" s="9"/>
      <c r="K28" s="9"/>
      <c r="L28" s="16"/>
    </row>
    <row r="29" spans="1:12" ht="12.75" customHeight="1">
      <c r="A29" s="2" t="s">
        <v>3676</v>
      </c>
      <c r="B29" s="12" t="s">
        <v>3510</v>
      </c>
      <c r="C29" s="44"/>
      <c r="D29" s="43"/>
      <c r="E29" s="44"/>
      <c r="F29" s="43"/>
      <c r="G29" s="23" t="s">
        <v>3984</v>
      </c>
      <c r="H29" s="43"/>
      <c r="I29" s="43">
        <f>AVERAGE(F30)</f>
        <v>0</v>
      </c>
      <c r="J29" s="44"/>
      <c r="K29" s="44"/>
      <c r="L29" s="43"/>
    </row>
    <row r="30" spans="1:12" ht="12.75" customHeight="1">
      <c r="A30" s="1" t="s">
        <v>3929</v>
      </c>
      <c r="B30" s="7">
        <v>38.72</v>
      </c>
      <c r="C30" s="9">
        <v>26.78</v>
      </c>
      <c r="D30" s="16">
        <f>(C30-B30)/B30</f>
        <v>-0.30836776859504128</v>
      </c>
      <c r="E30" s="9">
        <v>26.78</v>
      </c>
      <c r="F30" s="16">
        <f>(C30-E30)/E30</f>
        <v>0</v>
      </c>
      <c r="H30" s="16"/>
      <c r="I30" s="16"/>
      <c r="J30" s="9"/>
      <c r="K30" s="9"/>
      <c r="L30" s="16"/>
    </row>
    <row r="31" spans="1:12">
      <c r="A31" s="1"/>
      <c r="B31" s="7"/>
      <c r="D31" s="16"/>
      <c r="E31" s="9"/>
      <c r="F31" s="16"/>
      <c r="G31" s="40"/>
      <c r="H31" s="16"/>
      <c r="I31" s="16"/>
      <c r="J31" s="9"/>
      <c r="K31" s="9"/>
      <c r="L31" s="16"/>
    </row>
    <row r="32" spans="1:12" ht="38.25">
      <c r="A32" s="2" t="s">
        <v>3763</v>
      </c>
      <c r="B32" s="7"/>
      <c r="C32" s="44" t="s">
        <v>3996</v>
      </c>
      <c r="D32" s="43"/>
      <c r="E32" s="44"/>
      <c r="F32" s="43"/>
      <c r="G32" s="23" t="s">
        <v>3983</v>
      </c>
      <c r="H32" s="43">
        <f>AVERAGE(F33:F37)</f>
        <v>-0.13578767123287672</v>
      </c>
      <c r="I32" s="43"/>
      <c r="J32" s="44"/>
      <c r="K32" s="44"/>
      <c r="L32" s="43"/>
    </row>
    <row r="33" spans="1:12" ht="12.75" customHeight="1">
      <c r="A33" s="1" t="s">
        <v>3528</v>
      </c>
      <c r="B33" s="7">
        <v>34.82</v>
      </c>
      <c r="C33" s="9">
        <v>35.33</v>
      </c>
      <c r="D33" s="16">
        <f>(C33-B33)/B33</f>
        <v>1.4646754738655888E-2</v>
      </c>
      <c r="E33" s="9">
        <v>58.4</v>
      </c>
      <c r="F33" s="16">
        <f>(C33-E33)/E33</f>
        <v>-0.39503424657534247</v>
      </c>
      <c r="G33" s="40"/>
      <c r="H33" s="16"/>
      <c r="I33" s="16"/>
      <c r="J33" s="9"/>
      <c r="K33" s="9"/>
      <c r="L33" s="16"/>
    </row>
    <row r="34" spans="1:12" ht="12.75" customHeight="1">
      <c r="A34" s="1" t="s">
        <v>3529</v>
      </c>
      <c r="B34" s="7">
        <v>51.95</v>
      </c>
      <c r="C34" s="9">
        <v>52.82</v>
      </c>
      <c r="D34" s="16">
        <f>(C34-B34)/B34</f>
        <v>1.6746871992300238E-2</v>
      </c>
      <c r="E34" s="9">
        <v>58.4</v>
      </c>
      <c r="F34" s="16">
        <f>(C34-E34)/E34</f>
        <v>-9.554794520547942E-2</v>
      </c>
      <c r="G34" s="40"/>
      <c r="H34" s="16"/>
      <c r="I34" s="16"/>
      <c r="J34" s="9"/>
      <c r="K34" s="9"/>
      <c r="L34" s="16"/>
    </row>
    <row r="35" spans="1:12" ht="12.75" customHeight="1">
      <c r="A35" s="1" t="s">
        <v>3530</v>
      </c>
      <c r="B35" s="7">
        <v>56.89</v>
      </c>
      <c r="C35" s="9">
        <v>57.86</v>
      </c>
      <c r="D35" s="16">
        <f>(C35-B35)/B35</f>
        <v>1.7050448233432922E-2</v>
      </c>
      <c r="E35" s="9">
        <v>58.4</v>
      </c>
      <c r="F35" s="16">
        <f>(C35-E35)/E35</f>
        <v>-9.2465753424657397E-3</v>
      </c>
      <c r="G35" s="40"/>
      <c r="H35" s="16"/>
      <c r="I35" s="16"/>
      <c r="J35" s="9"/>
      <c r="K35" s="9"/>
      <c r="L35" s="16"/>
    </row>
    <row r="36" spans="1:12" ht="12.75" customHeight="1">
      <c r="A36" s="1" t="s">
        <v>3531</v>
      </c>
      <c r="B36" s="7">
        <v>61.9</v>
      </c>
      <c r="C36" s="9">
        <v>62.97</v>
      </c>
      <c r="D36" s="16">
        <f>(C36-B36)/B36</f>
        <v>1.7285945072697904E-2</v>
      </c>
      <c r="E36" s="9">
        <v>58.4</v>
      </c>
      <c r="F36" s="16">
        <f>(C36-E36)/E36</f>
        <v>7.8253424657534251E-2</v>
      </c>
      <c r="G36" s="40"/>
      <c r="H36" s="16"/>
      <c r="I36" s="16"/>
      <c r="J36" s="9"/>
      <c r="K36" s="9"/>
      <c r="L36" s="16"/>
    </row>
    <row r="37" spans="1:12" ht="12.75" customHeight="1">
      <c r="A37" s="1" t="s">
        <v>3532</v>
      </c>
      <c r="B37" s="7">
        <v>42.69</v>
      </c>
      <c r="C37" s="9">
        <v>43.37</v>
      </c>
      <c r="D37" s="16">
        <f>(C37-B37)/B37</f>
        <v>1.5928788943546494E-2</v>
      </c>
      <c r="E37" s="9">
        <v>58.4</v>
      </c>
      <c r="F37" s="16">
        <f>(C37-E37)/E37</f>
        <v>-0.25736301369863018</v>
      </c>
      <c r="G37" s="40"/>
      <c r="H37" s="16"/>
      <c r="I37" s="16"/>
      <c r="J37" s="9"/>
      <c r="K37" s="9"/>
      <c r="L37" s="16"/>
    </row>
    <row r="38" spans="1:12">
      <c r="A38" s="1"/>
      <c r="B38" s="7"/>
      <c r="D38" s="16"/>
      <c r="E38" s="9"/>
      <c r="F38" s="16"/>
      <c r="G38" s="40"/>
      <c r="H38" s="16"/>
      <c r="I38" s="16"/>
      <c r="J38" s="9"/>
      <c r="K38" s="9"/>
      <c r="L38" s="16"/>
    </row>
    <row r="39" spans="1:12">
      <c r="A39" s="2" t="s">
        <v>3533</v>
      </c>
      <c r="B39" s="7"/>
      <c r="C39" s="44" t="s">
        <v>3981</v>
      </c>
      <c r="D39" s="43"/>
      <c r="E39" s="44"/>
      <c r="F39" s="43"/>
      <c r="G39" s="23" t="s">
        <v>3983</v>
      </c>
      <c r="H39" s="43">
        <f>AVERAGE(F40)</f>
        <v>5.7445868316395301E-3</v>
      </c>
      <c r="I39" s="43"/>
      <c r="J39" s="44"/>
      <c r="K39" s="44"/>
      <c r="L39" s="43"/>
    </row>
    <row r="40" spans="1:12" ht="12.75" customHeight="1">
      <c r="A40" s="1" t="s">
        <v>3535</v>
      </c>
      <c r="B40" s="7">
        <v>44.31</v>
      </c>
      <c r="C40" s="9">
        <v>45.52</v>
      </c>
      <c r="D40" s="16">
        <f>(C40-B40)/B40</f>
        <v>2.7307605506657655E-2</v>
      </c>
      <c r="E40" s="9">
        <v>45.26</v>
      </c>
      <c r="F40" s="16">
        <f>(C40-E40)/E40</f>
        <v>5.7445868316395301E-3</v>
      </c>
      <c r="G40" s="40"/>
      <c r="H40" s="16"/>
      <c r="I40" s="16"/>
      <c r="J40" s="9"/>
      <c r="K40" s="9"/>
      <c r="L40" s="16"/>
    </row>
    <row r="41" spans="1:12">
      <c r="A41" s="1"/>
      <c r="B41" s="7"/>
      <c r="D41" s="16"/>
      <c r="E41" s="9"/>
      <c r="F41" s="16"/>
      <c r="G41" s="40"/>
      <c r="H41" s="16"/>
      <c r="I41" s="16"/>
      <c r="J41" s="9"/>
      <c r="K41" s="9"/>
      <c r="L41" s="16"/>
    </row>
    <row r="42" spans="1:12" ht="12.75" customHeight="1">
      <c r="A42" s="2" t="s">
        <v>3536</v>
      </c>
      <c r="B42" s="12" t="s">
        <v>3510</v>
      </c>
      <c r="C42" s="44" t="s">
        <v>3487</v>
      </c>
      <c r="D42" s="43"/>
      <c r="E42" s="44"/>
      <c r="F42" s="43"/>
      <c r="G42" s="23" t="s">
        <v>3983</v>
      </c>
      <c r="H42" s="43">
        <f>AVERAGE(F43:F46)</f>
        <v>0.20932700080840755</v>
      </c>
      <c r="I42" s="43"/>
      <c r="J42" s="44"/>
      <c r="K42" s="44"/>
      <c r="L42" s="43"/>
    </row>
    <row r="43" spans="1:12" ht="12.75" customHeight="1">
      <c r="A43" s="1" t="s">
        <v>3537</v>
      </c>
      <c r="B43" s="7">
        <v>54.74</v>
      </c>
      <c r="C43" s="9">
        <v>56.31</v>
      </c>
      <c r="D43" s="16">
        <f>(C43-B43)/B43</f>
        <v>2.8681037632444287E-2</v>
      </c>
      <c r="E43" s="9">
        <v>49.48</v>
      </c>
      <c r="F43" s="16">
        <f>(C43-E43)/E43</f>
        <v>0.13803556992724345</v>
      </c>
      <c r="G43" s="40"/>
      <c r="H43" s="16"/>
      <c r="I43" s="16"/>
      <c r="J43" s="9"/>
      <c r="K43" s="9"/>
      <c r="L43" s="16"/>
    </row>
    <row r="44" spans="1:12" ht="12.75" customHeight="1">
      <c r="A44" s="1" t="s">
        <v>3538</v>
      </c>
      <c r="B44" s="7">
        <v>55.25</v>
      </c>
      <c r="C44" s="9">
        <v>56.83</v>
      </c>
      <c r="D44" s="16">
        <f>(C44-B44)/B44</f>
        <v>2.8597285067873273E-2</v>
      </c>
      <c r="E44" s="9">
        <v>49.48</v>
      </c>
      <c r="F44" s="16">
        <f>(C44-E44)/E44</f>
        <v>0.14854486661277289</v>
      </c>
      <c r="G44" s="40"/>
      <c r="H44" s="16"/>
      <c r="I44" s="16"/>
      <c r="J44" s="9"/>
      <c r="K44" s="9"/>
      <c r="L44" s="16"/>
    </row>
    <row r="45" spans="1:12" ht="12.75" customHeight="1">
      <c r="A45" s="1" t="s">
        <v>3601</v>
      </c>
      <c r="B45" s="7">
        <v>59.18</v>
      </c>
      <c r="C45" s="9">
        <v>60.84</v>
      </c>
      <c r="D45" s="16">
        <f>(C45-B45)/B45</f>
        <v>2.8050016897600602E-2</v>
      </c>
      <c r="E45" s="9">
        <v>49.48</v>
      </c>
      <c r="F45" s="16">
        <f>(C45-E45)/E45</f>
        <v>0.22958771220695245</v>
      </c>
      <c r="G45" s="40"/>
      <c r="H45" s="16"/>
      <c r="I45" s="16"/>
      <c r="J45" s="9"/>
      <c r="K45" s="9"/>
      <c r="L45" s="16"/>
    </row>
    <row r="46" spans="1:12" ht="12.75" customHeight="1">
      <c r="A46" s="1" t="s">
        <v>3766</v>
      </c>
      <c r="B46" s="7">
        <v>63.62</v>
      </c>
      <c r="C46" s="9">
        <v>65.37</v>
      </c>
      <c r="D46" s="16">
        <f>(C46-B46)/B46</f>
        <v>2.7507073247406588E-2</v>
      </c>
      <c r="E46" s="9">
        <v>49.48</v>
      </c>
      <c r="F46" s="16">
        <f>(C46-E46)/E46</f>
        <v>0.32113985448666144</v>
      </c>
      <c r="G46" s="40"/>
      <c r="H46" s="16"/>
      <c r="I46" s="16"/>
      <c r="J46" s="9"/>
      <c r="K46" s="9"/>
      <c r="L46" s="16"/>
    </row>
    <row r="47" spans="1:12">
      <c r="A47" s="1"/>
      <c r="B47" s="7"/>
      <c r="D47" s="16"/>
      <c r="E47" s="9"/>
      <c r="F47" s="16"/>
      <c r="G47" s="40"/>
      <c r="H47" s="16"/>
      <c r="I47" s="16"/>
      <c r="J47" s="9"/>
      <c r="K47" s="9"/>
      <c r="L47" s="16"/>
    </row>
    <row r="48" spans="1:12" ht="12.75" customHeight="1">
      <c r="A48" s="2" t="s">
        <v>3541</v>
      </c>
      <c r="B48" s="7" t="s">
        <v>3534</v>
      </c>
      <c r="C48" s="44" t="s">
        <v>3487</v>
      </c>
      <c r="D48" s="43"/>
      <c r="E48" s="44"/>
      <c r="F48" s="43"/>
      <c r="G48" s="23" t="s">
        <v>3983</v>
      </c>
      <c r="H48" s="43">
        <f>AVERAGE(F49:F50)</f>
        <v>3.0887736424649148E-2</v>
      </c>
      <c r="I48" s="43"/>
      <c r="J48" s="44"/>
      <c r="K48" s="44"/>
      <c r="L48" s="43"/>
    </row>
    <row r="49" spans="1:12" ht="12.75" customHeight="1">
      <c r="A49" s="1" t="s">
        <v>3542</v>
      </c>
      <c r="B49" s="7">
        <v>46.01</v>
      </c>
      <c r="C49" s="9">
        <v>64.58</v>
      </c>
      <c r="D49" s="16">
        <f>(C49-B49)/B49</f>
        <v>0.40360791132362533</v>
      </c>
      <c r="E49" s="9">
        <v>65.56</v>
      </c>
      <c r="F49" s="16">
        <f>(C49-E49)/E49</f>
        <v>-1.4948139109212995E-2</v>
      </c>
      <c r="G49" s="40"/>
      <c r="H49" s="16"/>
      <c r="I49" s="16"/>
      <c r="J49" s="9"/>
      <c r="K49" s="9"/>
      <c r="L49" s="16"/>
    </row>
    <row r="50" spans="1:12" ht="12.75" customHeight="1">
      <c r="A50" s="1" t="s">
        <v>3769</v>
      </c>
      <c r="B50" s="7">
        <v>46.01</v>
      </c>
      <c r="C50" s="9">
        <v>70.59</v>
      </c>
      <c r="D50" s="16">
        <f>(C50-B50)/B50</f>
        <v>0.53423168876331251</v>
      </c>
      <c r="E50" s="9">
        <v>65.56</v>
      </c>
      <c r="F50" s="16">
        <f>(C50-E50)/E50</f>
        <v>7.6723611958511295E-2</v>
      </c>
      <c r="G50" s="40"/>
      <c r="H50" s="16"/>
      <c r="I50" s="16"/>
      <c r="J50" s="9"/>
      <c r="K50" s="9"/>
      <c r="L50" s="16"/>
    </row>
    <row r="51" spans="1:12">
      <c r="A51" s="1"/>
      <c r="B51" s="7"/>
      <c r="D51" s="16"/>
      <c r="E51" s="9"/>
      <c r="F51" s="16"/>
      <c r="G51" s="40"/>
      <c r="H51" s="16"/>
      <c r="I51" s="16"/>
      <c r="J51" s="9"/>
      <c r="K51" s="9"/>
      <c r="L51" s="16"/>
    </row>
    <row r="52" spans="1:12" ht="12.75" customHeight="1">
      <c r="A52" s="2" t="s">
        <v>3544</v>
      </c>
      <c r="B52" s="7" t="s">
        <v>3534</v>
      </c>
      <c r="C52" s="44" t="s">
        <v>3487</v>
      </c>
      <c r="D52" s="43"/>
      <c r="E52" s="44"/>
      <c r="F52" s="43"/>
      <c r="G52" s="23" t="s">
        <v>3984</v>
      </c>
      <c r="H52" s="43"/>
      <c r="I52" s="43">
        <f>AVERAGE(F53)</f>
        <v>0</v>
      </c>
      <c r="J52" s="44"/>
      <c r="K52" s="44"/>
      <c r="L52" s="43"/>
    </row>
    <row r="53" spans="1:12" ht="12.75" customHeight="1">
      <c r="A53" s="1" t="s">
        <v>3545</v>
      </c>
      <c r="B53" s="7">
        <v>13</v>
      </c>
      <c r="C53" s="9">
        <v>18.43</v>
      </c>
      <c r="D53" s="16">
        <f>(C53-B53)/B53</f>
        <v>0.4176923076923077</v>
      </c>
      <c r="E53" s="9">
        <v>18.43</v>
      </c>
      <c r="F53" s="16">
        <f>(C53-E53)/E53</f>
        <v>0</v>
      </c>
      <c r="G53" s="40"/>
      <c r="H53" s="16"/>
      <c r="I53" s="16"/>
      <c r="J53" s="9"/>
      <c r="K53" s="9"/>
      <c r="L53" s="16"/>
    </row>
    <row r="54" spans="1:12">
      <c r="A54" s="1"/>
      <c r="B54" s="7"/>
      <c r="D54" s="16"/>
      <c r="E54" s="9"/>
      <c r="F54" s="16"/>
      <c r="G54" s="40"/>
      <c r="H54" s="16"/>
      <c r="I54" s="16"/>
      <c r="J54" s="9"/>
      <c r="K54" s="9"/>
      <c r="L54" s="16"/>
    </row>
    <row r="55" spans="1:12" ht="51" customHeight="1">
      <c r="A55" s="2" t="s">
        <v>3546</v>
      </c>
      <c r="B55" s="12" t="s">
        <v>3547</v>
      </c>
      <c r="C55" s="31" t="s">
        <v>3994</v>
      </c>
      <c r="D55" s="43"/>
      <c r="E55" s="44"/>
      <c r="F55" s="43"/>
      <c r="G55" s="23" t="s">
        <v>3983</v>
      </c>
      <c r="H55" s="43"/>
      <c r="I55" s="43"/>
      <c r="J55" s="44"/>
      <c r="K55" s="44"/>
      <c r="L55" s="43"/>
    </row>
    <row r="56" spans="1:12">
      <c r="A56" s="1" t="s">
        <v>3548</v>
      </c>
      <c r="B56" s="7">
        <v>41.44</v>
      </c>
      <c r="C56" s="7">
        <v>22.16</v>
      </c>
      <c r="D56" s="16">
        <f>(C56-B56)/B56</f>
        <v>-0.46525096525096521</v>
      </c>
      <c r="E56" s="9"/>
      <c r="F56" s="16"/>
      <c r="G56" s="40"/>
      <c r="H56" s="16"/>
      <c r="I56" s="16"/>
      <c r="J56" s="9"/>
      <c r="K56" s="9"/>
      <c r="L56" s="16"/>
    </row>
    <row r="57" spans="1:12">
      <c r="A57" s="1"/>
      <c r="B57" s="7"/>
      <c r="C57" s="7"/>
      <c r="D57" s="24"/>
      <c r="E57" s="9"/>
      <c r="F57" s="16"/>
      <c r="G57" s="40"/>
      <c r="H57" s="16"/>
      <c r="I57" s="16"/>
      <c r="J57" s="9"/>
      <c r="K57" s="9"/>
      <c r="L57" s="16"/>
    </row>
    <row r="58" spans="1:12">
      <c r="A58" s="1"/>
      <c r="B58" s="7"/>
      <c r="C58" s="7"/>
      <c r="D58" s="24"/>
      <c r="E58" s="9"/>
      <c r="F58" s="16"/>
      <c r="G58" s="40"/>
      <c r="H58" s="16"/>
      <c r="I58" s="16"/>
      <c r="J58" s="9"/>
      <c r="K58" s="9"/>
      <c r="L58" s="16"/>
    </row>
    <row r="59" spans="1:12" ht="16.5" customHeight="1">
      <c r="A59" s="2" t="s">
        <v>3549</v>
      </c>
      <c r="B59" s="7"/>
      <c r="C59" s="31" t="s">
        <v>3497</v>
      </c>
      <c r="D59" s="52"/>
      <c r="E59" s="44"/>
      <c r="F59" s="43"/>
      <c r="G59" s="23" t="s">
        <v>3983</v>
      </c>
      <c r="H59" s="43">
        <f>AVERAGE(F60:F61)</f>
        <v>0.23547232167446974</v>
      </c>
      <c r="I59" s="43"/>
      <c r="J59" s="44"/>
      <c r="K59" s="44"/>
      <c r="L59" s="43"/>
    </row>
    <row r="60" spans="1:12" ht="12.75" customHeight="1">
      <c r="A60" s="1" t="s">
        <v>3550</v>
      </c>
      <c r="B60" s="7">
        <v>36.26</v>
      </c>
      <c r="C60" s="7">
        <v>42.4</v>
      </c>
      <c r="D60" s="16">
        <f>(C60-B60)/B60</f>
        <v>0.16933259790402649</v>
      </c>
      <c r="E60" s="9">
        <v>36.31</v>
      </c>
      <c r="F60" s="16">
        <f>(C60-E60)/E60</f>
        <v>0.16772239052602578</v>
      </c>
      <c r="G60" s="40"/>
      <c r="H60" s="16"/>
      <c r="I60" s="16"/>
      <c r="J60" s="9"/>
      <c r="K60" s="9"/>
      <c r="L60" s="16"/>
    </row>
    <row r="61" spans="1:12" ht="12.75" customHeight="1">
      <c r="A61" s="1" t="s">
        <v>3551</v>
      </c>
      <c r="B61" s="7">
        <v>38.9</v>
      </c>
      <c r="C61" s="7">
        <v>47.32</v>
      </c>
      <c r="D61" s="16">
        <f>(C61-B61)/B61</f>
        <v>0.21645244215938308</v>
      </c>
      <c r="E61" s="9">
        <v>36.31</v>
      </c>
      <c r="F61" s="16">
        <f>(C61-E61)/E61</f>
        <v>0.30322225282291371</v>
      </c>
      <c r="G61" s="40"/>
      <c r="H61" s="16"/>
      <c r="I61" s="16"/>
      <c r="J61" s="9"/>
      <c r="K61" s="9"/>
      <c r="L61" s="16"/>
    </row>
    <row r="62" spans="1:12">
      <c r="A62" s="1"/>
      <c r="B62" s="7"/>
      <c r="C62" s="7"/>
      <c r="D62" s="24"/>
      <c r="E62" s="9"/>
      <c r="F62" s="16"/>
      <c r="G62" s="40"/>
      <c r="H62" s="16"/>
      <c r="I62" s="16"/>
      <c r="J62" s="9"/>
      <c r="K62" s="9"/>
      <c r="L62" s="16"/>
    </row>
    <row r="63" spans="1:12" ht="12.75" customHeight="1">
      <c r="A63" s="2" t="s">
        <v>3552</v>
      </c>
      <c r="B63" s="7" t="s">
        <v>3534</v>
      </c>
      <c r="C63" s="31" t="s">
        <v>3487</v>
      </c>
      <c r="D63" s="53"/>
      <c r="E63" s="44"/>
      <c r="F63" s="43"/>
      <c r="G63" s="23" t="s">
        <v>3984</v>
      </c>
      <c r="H63" s="43"/>
      <c r="I63" s="43">
        <f>AVERAGE(F64:F65)</f>
        <v>0</v>
      </c>
      <c r="J63" s="44"/>
      <c r="K63" s="44"/>
      <c r="L63" s="43"/>
    </row>
    <row r="64" spans="1:12" ht="12.75" customHeight="1">
      <c r="A64" s="1" t="s">
        <v>3553</v>
      </c>
      <c r="B64" s="7">
        <v>21.5</v>
      </c>
      <c r="C64" s="7">
        <v>21.5</v>
      </c>
      <c r="D64" s="16">
        <f>(C64-B64)/B64</f>
        <v>0</v>
      </c>
      <c r="E64" s="9">
        <v>21.5</v>
      </c>
      <c r="F64" s="16">
        <f>(C64-E64)/E64</f>
        <v>0</v>
      </c>
      <c r="G64" s="40"/>
      <c r="H64" s="16"/>
      <c r="I64" s="16"/>
      <c r="J64" s="9"/>
      <c r="K64" s="9"/>
      <c r="L64" s="16"/>
    </row>
    <row r="65" spans="1:12" ht="12.75" customHeight="1">
      <c r="A65" s="1" t="s">
        <v>3772</v>
      </c>
      <c r="B65" s="7">
        <v>21.5</v>
      </c>
      <c r="C65" s="7">
        <v>21.5</v>
      </c>
      <c r="D65" s="16">
        <f>(C65-B65)/B65</f>
        <v>0</v>
      </c>
      <c r="E65" s="9">
        <v>21.5</v>
      </c>
      <c r="F65" s="16">
        <f>(C65-E65)/E65</f>
        <v>0</v>
      </c>
      <c r="G65" s="40"/>
      <c r="H65" s="16"/>
      <c r="I65" s="16"/>
      <c r="J65" s="9"/>
      <c r="K65" s="9"/>
      <c r="L65" s="16"/>
    </row>
    <row r="66" spans="1:12">
      <c r="A66" s="1"/>
      <c r="B66" s="7"/>
      <c r="C66" s="7"/>
      <c r="D66" s="24"/>
      <c r="E66" s="9"/>
      <c r="F66" s="16"/>
      <c r="G66" s="40"/>
      <c r="H66" s="16"/>
      <c r="I66" s="16"/>
      <c r="J66" s="9"/>
      <c r="K66" s="9"/>
      <c r="L66" s="16"/>
    </row>
    <row r="67" spans="1:12" ht="12.75" customHeight="1">
      <c r="A67" s="2" t="s">
        <v>3554</v>
      </c>
      <c r="B67" s="12" t="s">
        <v>3547</v>
      </c>
      <c r="C67" s="44" t="s">
        <v>3487</v>
      </c>
      <c r="D67" s="54"/>
      <c r="E67" s="44"/>
      <c r="F67" s="43"/>
      <c r="G67" s="23" t="s">
        <v>3983</v>
      </c>
      <c r="H67" s="43">
        <f>AVERAGE(F68)</f>
        <v>0</v>
      </c>
      <c r="I67" s="43"/>
      <c r="J67" s="44"/>
      <c r="K67" s="44"/>
      <c r="L67" s="43"/>
    </row>
    <row r="68" spans="1:12" ht="12.75" customHeight="1">
      <c r="A68" s="1" t="s">
        <v>3555</v>
      </c>
      <c r="B68" s="7">
        <v>33.57</v>
      </c>
      <c r="C68" s="7">
        <v>42.94</v>
      </c>
      <c r="D68" s="16">
        <f>(C68-B68)/B68</f>
        <v>0.27911826035150422</v>
      </c>
      <c r="E68" s="9">
        <v>42.94</v>
      </c>
      <c r="F68" s="16">
        <f>(C68-E68)/E68</f>
        <v>0</v>
      </c>
      <c r="G68" s="40"/>
      <c r="H68" s="16"/>
      <c r="I68" s="16"/>
      <c r="J68" s="9"/>
      <c r="K68" s="9"/>
      <c r="L68" s="16"/>
    </row>
    <row r="69" spans="1:12">
      <c r="A69" s="143"/>
      <c r="B69" s="143"/>
      <c r="C69" s="7"/>
      <c r="D69" s="24"/>
      <c r="E69" s="9"/>
      <c r="F69" s="16"/>
      <c r="G69" s="40"/>
      <c r="H69" s="16"/>
      <c r="I69" s="16"/>
      <c r="J69" s="9"/>
      <c r="K69" s="9"/>
      <c r="L69" s="16"/>
    </row>
    <row r="70" spans="1:12" ht="12.75" customHeight="1">
      <c r="A70" s="2" t="s">
        <v>3773</v>
      </c>
      <c r="B70" s="10"/>
      <c r="C70" s="44" t="s">
        <v>3496</v>
      </c>
      <c r="D70" s="54"/>
      <c r="E70" s="44"/>
      <c r="F70" s="43"/>
      <c r="G70" s="23" t="s">
        <v>3983</v>
      </c>
      <c r="H70" s="43">
        <f>AVERAGE(F71)</f>
        <v>0</v>
      </c>
      <c r="I70" s="43"/>
      <c r="J70" s="44"/>
      <c r="K70" s="44"/>
      <c r="L70" s="43"/>
    </row>
    <row r="71" spans="1:12" ht="12.75" customHeight="1">
      <c r="A71" s="1" t="s">
        <v>3774</v>
      </c>
      <c r="B71" s="7">
        <v>43.31</v>
      </c>
      <c r="C71" s="7">
        <v>43.31</v>
      </c>
      <c r="D71" s="16">
        <f>(C71-B71)/B71</f>
        <v>0</v>
      </c>
      <c r="E71" s="7">
        <v>43.31</v>
      </c>
      <c r="F71" s="16">
        <f>(C71-E71)/E71</f>
        <v>0</v>
      </c>
      <c r="H71" s="16"/>
      <c r="I71" s="16"/>
      <c r="J71" s="9"/>
      <c r="K71" s="9"/>
      <c r="L71" s="16"/>
    </row>
    <row r="72" spans="1:12">
      <c r="A72" s="2"/>
      <c r="B72" s="10"/>
      <c r="C72" s="7"/>
      <c r="D72" s="24"/>
      <c r="E72" s="9"/>
      <c r="F72" s="16"/>
      <c r="G72" s="40"/>
      <c r="H72" s="16"/>
      <c r="I72" s="16"/>
      <c r="J72" s="9"/>
      <c r="K72" s="9"/>
      <c r="L72" s="16"/>
    </row>
    <row r="73" spans="1:12" ht="25.5" customHeight="1">
      <c r="A73" s="2" t="s">
        <v>3775</v>
      </c>
      <c r="B73" s="12" t="s">
        <v>3547</v>
      </c>
      <c r="C73" s="44" t="s">
        <v>3481</v>
      </c>
      <c r="D73" s="54"/>
      <c r="E73" s="44"/>
      <c r="F73" s="43"/>
      <c r="G73" s="23" t="s">
        <v>3983</v>
      </c>
      <c r="H73" s="43">
        <f>AVERAGE(F74:F76)</f>
        <v>0.36275671406003179</v>
      </c>
      <c r="I73" s="43"/>
      <c r="J73" s="44"/>
      <c r="K73" s="44"/>
      <c r="L73" s="43"/>
    </row>
    <row r="74" spans="1:12" ht="12.75" customHeight="1">
      <c r="A74" s="1" t="s">
        <v>3560</v>
      </c>
      <c r="B74" s="7">
        <v>44.34</v>
      </c>
      <c r="C74" s="7">
        <v>44.34</v>
      </c>
      <c r="D74" s="16">
        <f>(C74-B74)/B74</f>
        <v>0</v>
      </c>
      <c r="E74" s="9">
        <v>33.76</v>
      </c>
      <c r="F74" s="16">
        <f>(C74-E74)/E74</f>
        <v>0.31338862559241726</v>
      </c>
      <c r="G74" s="40"/>
      <c r="H74" s="16"/>
      <c r="I74" s="16"/>
      <c r="J74" s="9"/>
      <c r="K74" s="9"/>
      <c r="L74" s="16"/>
    </row>
    <row r="75" spans="1:12" ht="12.75" customHeight="1">
      <c r="A75" s="1" t="s">
        <v>3561</v>
      </c>
      <c r="B75" s="7">
        <v>46.34</v>
      </c>
      <c r="C75" s="7">
        <v>46.34</v>
      </c>
      <c r="D75" s="16">
        <f>(C75-B75)/B75</f>
        <v>0</v>
      </c>
      <c r="E75" s="9">
        <v>33.76</v>
      </c>
      <c r="F75" s="16">
        <f>(C75-E75)/E75</f>
        <v>0.3726303317535547</v>
      </c>
      <c r="G75" s="40"/>
      <c r="H75" s="16"/>
      <c r="I75" s="16"/>
      <c r="J75" s="9"/>
      <c r="K75" s="9"/>
      <c r="L75" s="16"/>
    </row>
    <row r="76" spans="1:12" ht="12.75" customHeight="1">
      <c r="A76" s="1" t="s">
        <v>3562</v>
      </c>
      <c r="B76" s="7">
        <v>47.34</v>
      </c>
      <c r="C76" s="7">
        <v>47.34</v>
      </c>
      <c r="D76" s="16">
        <f>(C76-B76)/B76</f>
        <v>0</v>
      </c>
      <c r="E76" s="9">
        <v>33.76</v>
      </c>
      <c r="F76" s="16">
        <f>(C76-E76)/E76</f>
        <v>0.40225118483412342</v>
      </c>
      <c r="G76" s="40"/>
      <c r="H76" s="16"/>
      <c r="I76" s="16"/>
      <c r="J76" s="9"/>
      <c r="K76" s="9"/>
      <c r="L76" s="16"/>
    </row>
    <row r="77" spans="1:12">
      <c r="A77" s="1"/>
      <c r="B77" s="10"/>
      <c r="C77" s="7"/>
      <c r="D77" s="24"/>
      <c r="E77" s="9"/>
      <c r="F77" s="16"/>
      <c r="G77" s="40"/>
      <c r="H77" s="16"/>
      <c r="I77" s="16"/>
      <c r="J77" s="9"/>
      <c r="K77" s="9"/>
      <c r="L77" s="16"/>
    </row>
    <row r="78" spans="1:12" ht="25.5" customHeight="1">
      <c r="A78" s="2" t="s">
        <v>3563</v>
      </c>
      <c r="B78" s="12" t="s">
        <v>3924</v>
      </c>
      <c r="C78" s="8" t="s">
        <v>3487</v>
      </c>
      <c r="D78" s="52"/>
      <c r="E78" s="44"/>
      <c r="F78" s="43"/>
      <c r="G78" s="23" t="s">
        <v>3983</v>
      </c>
      <c r="H78" s="43">
        <f>AVERAGE(F79:F81)</f>
        <v>0.60631184808772398</v>
      </c>
      <c r="I78" s="43"/>
      <c r="J78" s="44"/>
      <c r="K78" s="44"/>
      <c r="L78" s="43"/>
    </row>
    <row r="79" spans="1:12" ht="12.75" customHeight="1">
      <c r="A79" s="1" t="s">
        <v>3565</v>
      </c>
      <c r="B79" s="7">
        <v>54.38</v>
      </c>
      <c r="C79" s="7">
        <v>56.74</v>
      </c>
      <c r="D79" s="16">
        <f>(C79-B79)/B79</f>
        <v>4.3398308201544673E-2</v>
      </c>
      <c r="E79" s="9">
        <v>37.39</v>
      </c>
      <c r="F79" s="16">
        <f>(C79-E79)/E79</f>
        <v>0.51751805295533571</v>
      </c>
      <c r="G79" s="40"/>
      <c r="H79" s="16"/>
      <c r="I79" s="16"/>
      <c r="J79" s="9"/>
      <c r="K79" s="9"/>
      <c r="L79" s="16"/>
    </row>
    <row r="80" spans="1:12" ht="12.75" customHeight="1">
      <c r="A80" s="1" t="s">
        <v>3566</v>
      </c>
      <c r="B80" s="7">
        <v>57.68</v>
      </c>
      <c r="C80" s="7">
        <v>60.04</v>
      </c>
      <c r="D80" s="16">
        <f>(C80-B80)/B80</f>
        <v>4.0915395284327312E-2</v>
      </c>
      <c r="E80" s="9">
        <v>37.39</v>
      </c>
      <c r="F80" s="16">
        <f>(C80-E80)/E80</f>
        <v>0.60577694570740837</v>
      </c>
      <c r="G80" s="40"/>
      <c r="H80" s="16"/>
      <c r="I80" s="16"/>
      <c r="J80" s="9"/>
      <c r="K80" s="9"/>
      <c r="L80" s="16"/>
    </row>
    <row r="81" spans="1:12" ht="12.75" customHeight="1">
      <c r="A81" s="1" t="s">
        <v>3567</v>
      </c>
      <c r="B81" s="7">
        <v>61.04</v>
      </c>
      <c r="C81" s="7">
        <v>63.4</v>
      </c>
      <c r="D81" s="16">
        <f>(C81-B81)/B81</f>
        <v>3.8663171690694616E-2</v>
      </c>
      <c r="E81" s="9">
        <v>37.39</v>
      </c>
      <c r="F81" s="16">
        <f>(C81-E81)/E81</f>
        <v>0.69564054560042787</v>
      </c>
      <c r="G81" s="40"/>
      <c r="H81" s="16"/>
      <c r="I81" s="16"/>
      <c r="J81" s="9"/>
      <c r="K81" s="9"/>
      <c r="L81" s="16"/>
    </row>
    <row r="82" spans="1:12">
      <c r="A82" s="1"/>
      <c r="B82" s="7"/>
      <c r="C82" s="7"/>
      <c r="D82" s="24"/>
      <c r="E82" s="9"/>
      <c r="F82" s="16"/>
      <c r="G82" s="40"/>
      <c r="H82" s="16"/>
      <c r="I82" s="16"/>
      <c r="J82" s="9"/>
      <c r="K82" s="9"/>
      <c r="L82" s="16"/>
    </row>
    <row r="83" spans="1:12">
      <c r="A83" s="1"/>
      <c r="B83" s="7"/>
      <c r="C83" s="7"/>
      <c r="D83" s="24"/>
      <c r="E83" s="9"/>
      <c r="F83" s="16"/>
      <c r="G83" s="40"/>
      <c r="H83" s="16"/>
      <c r="I83" s="16"/>
      <c r="J83" s="9"/>
      <c r="K83" s="9"/>
      <c r="L83" s="16"/>
    </row>
    <row r="84" spans="1:12" ht="38.25" customHeight="1">
      <c r="A84" s="2" t="s">
        <v>3568</v>
      </c>
      <c r="B84" s="147" t="s">
        <v>3547</v>
      </c>
      <c r="C84" s="31"/>
      <c r="D84" s="43"/>
      <c r="E84" s="44"/>
      <c r="F84" s="43"/>
      <c r="G84" s="23" t="s">
        <v>3984</v>
      </c>
      <c r="H84" s="43"/>
      <c r="I84" s="43">
        <f>AVERAGE(F86:F99)</f>
        <v>-6.1016949152542417E-2</v>
      </c>
      <c r="J84" s="44"/>
      <c r="K84" s="44"/>
      <c r="L84" s="43"/>
    </row>
    <row r="85" spans="1:12">
      <c r="A85" s="3" t="s">
        <v>3569</v>
      </c>
      <c r="B85" s="147"/>
      <c r="C85" s="7"/>
      <c r="D85" s="16"/>
      <c r="E85" s="9"/>
      <c r="F85" s="16"/>
      <c r="G85" s="40"/>
      <c r="H85" s="16"/>
      <c r="I85" s="16"/>
      <c r="J85" s="9"/>
      <c r="K85" s="9"/>
      <c r="L85" s="16"/>
    </row>
    <row r="86" spans="1:12">
      <c r="A86" s="1" t="s">
        <v>3571</v>
      </c>
      <c r="B86" s="7">
        <v>42.94</v>
      </c>
      <c r="C86" s="7">
        <v>22.16</v>
      </c>
      <c r="D86" s="16">
        <f t="shared" ref="D86:D94" si="0">(C86-B86)/B86</f>
        <v>-0.48393106660456447</v>
      </c>
      <c r="E86" s="9">
        <v>23.6</v>
      </c>
      <c r="F86" s="16">
        <f t="shared" ref="F86:F99" si="1">(C86-E86)/E86</f>
        <v>-6.1016949152542424E-2</v>
      </c>
      <c r="G86" s="40"/>
      <c r="H86" s="16"/>
      <c r="I86" s="16"/>
      <c r="J86" s="9"/>
      <c r="K86" s="9"/>
      <c r="L86" s="16"/>
    </row>
    <row r="87" spans="1:12">
      <c r="A87" s="1" t="s">
        <v>3572</v>
      </c>
      <c r="B87" s="7">
        <v>42.94</v>
      </c>
      <c r="C87" s="7">
        <v>22.16</v>
      </c>
      <c r="D87" s="16">
        <f t="shared" si="0"/>
        <v>-0.48393106660456447</v>
      </c>
      <c r="E87" s="9">
        <v>23.6</v>
      </c>
      <c r="F87" s="16">
        <f t="shared" si="1"/>
        <v>-6.1016949152542424E-2</v>
      </c>
      <c r="G87" s="40"/>
      <c r="H87" s="16"/>
      <c r="I87" s="16"/>
      <c r="J87" s="9"/>
      <c r="K87" s="9"/>
      <c r="L87" s="16"/>
    </row>
    <row r="88" spans="1:12">
      <c r="A88" s="1" t="s">
        <v>3573</v>
      </c>
      <c r="B88" s="7">
        <v>42.94</v>
      </c>
      <c r="C88" s="7">
        <v>22.16</v>
      </c>
      <c r="D88" s="16">
        <f t="shared" si="0"/>
        <v>-0.48393106660456447</v>
      </c>
      <c r="E88" s="9">
        <v>23.6</v>
      </c>
      <c r="F88" s="16">
        <f t="shared" si="1"/>
        <v>-6.1016949152542424E-2</v>
      </c>
      <c r="G88" s="40"/>
      <c r="H88" s="16"/>
      <c r="I88" s="16"/>
      <c r="J88" s="9"/>
      <c r="K88" s="9"/>
      <c r="L88" s="16"/>
    </row>
    <row r="89" spans="1:12">
      <c r="A89" s="1" t="s">
        <v>3574</v>
      </c>
      <c r="B89" s="7">
        <v>42.94</v>
      </c>
      <c r="C89" s="7">
        <v>22.16</v>
      </c>
      <c r="D89" s="16">
        <f t="shared" si="0"/>
        <v>-0.48393106660456447</v>
      </c>
      <c r="E89" s="9">
        <v>23.6</v>
      </c>
      <c r="F89" s="16">
        <f t="shared" si="1"/>
        <v>-6.1016949152542424E-2</v>
      </c>
      <c r="G89" s="40"/>
      <c r="H89" s="16"/>
      <c r="I89" s="16"/>
      <c r="J89" s="9"/>
      <c r="K89" s="9"/>
      <c r="L89" s="16"/>
    </row>
    <row r="90" spans="1:12">
      <c r="A90" s="1" t="s">
        <v>3575</v>
      </c>
      <c r="B90" s="7">
        <v>42.94</v>
      </c>
      <c r="C90" s="7">
        <v>22.16</v>
      </c>
      <c r="D90" s="16">
        <f t="shared" si="0"/>
        <v>-0.48393106660456447</v>
      </c>
      <c r="E90" s="9">
        <v>23.6</v>
      </c>
      <c r="F90" s="16">
        <f t="shared" si="1"/>
        <v>-6.1016949152542424E-2</v>
      </c>
      <c r="G90" s="40"/>
      <c r="H90" s="16"/>
      <c r="I90" s="16"/>
      <c r="J90" s="9"/>
      <c r="K90" s="9"/>
      <c r="L90" s="16"/>
    </row>
    <row r="91" spans="1:12">
      <c r="A91" s="1" t="s">
        <v>3576</v>
      </c>
      <c r="B91" s="7">
        <v>42.94</v>
      </c>
      <c r="C91" s="7">
        <v>22.16</v>
      </c>
      <c r="D91" s="16">
        <f t="shared" si="0"/>
        <v>-0.48393106660456447</v>
      </c>
      <c r="E91" s="9">
        <v>23.6</v>
      </c>
      <c r="F91" s="16">
        <f t="shared" si="1"/>
        <v>-6.1016949152542424E-2</v>
      </c>
      <c r="G91" s="40"/>
      <c r="H91" s="16"/>
      <c r="I91" s="16"/>
      <c r="J91" s="9"/>
      <c r="K91" s="9"/>
      <c r="L91" s="16"/>
    </row>
    <row r="92" spans="1:12">
      <c r="A92" s="1" t="s">
        <v>3577</v>
      </c>
      <c r="B92" s="7">
        <v>42.94</v>
      </c>
      <c r="C92" s="7">
        <v>22.16</v>
      </c>
      <c r="D92" s="16">
        <f t="shared" si="0"/>
        <v>-0.48393106660456447</v>
      </c>
      <c r="E92" s="9">
        <v>23.6</v>
      </c>
      <c r="F92" s="16">
        <f t="shared" si="1"/>
        <v>-6.1016949152542424E-2</v>
      </c>
      <c r="G92" s="40"/>
      <c r="H92" s="16"/>
      <c r="I92" s="16"/>
      <c r="J92" s="9"/>
      <c r="K92" s="9"/>
      <c r="L92" s="16"/>
    </row>
    <row r="93" spans="1:12">
      <c r="A93" s="1" t="s">
        <v>3578</v>
      </c>
      <c r="B93" s="7">
        <v>42.94</v>
      </c>
      <c r="C93" s="7">
        <v>22.16</v>
      </c>
      <c r="D93" s="16">
        <f t="shared" si="0"/>
        <v>-0.48393106660456447</v>
      </c>
      <c r="E93" s="9">
        <v>23.6</v>
      </c>
      <c r="F93" s="16">
        <f t="shared" si="1"/>
        <v>-6.1016949152542424E-2</v>
      </c>
      <c r="G93" s="40"/>
      <c r="H93" s="16"/>
      <c r="I93" s="16"/>
      <c r="J93" s="9"/>
      <c r="K93" s="9"/>
      <c r="L93" s="16"/>
    </row>
    <row r="94" spans="1:12">
      <c r="A94" s="1" t="s">
        <v>3579</v>
      </c>
      <c r="B94" s="7">
        <v>42.94</v>
      </c>
      <c r="C94" s="7">
        <v>22.16</v>
      </c>
      <c r="D94" s="16">
        <f t="shared" si="0"/>
        <v>-0.48393106660456447</v>
      </c>
      <c r="E94" s="9">
        <v>23.6</v>
      </c>
      <c r="F94" s="16">
        <f t="shared" si="1"/>
        <v>-6.1016949152542424E-2</v>
      </c>
      <c r="G94" s="40"/>
      <c r="H94" s="16"/>
      <c r="I94" s="16"/>
      <c r="J94" s="9"/>
      <c r="K94" s="9"/>
      <c r="L94" s="16"/>
    </row>
    <row r="95" spans="1:12">
      <c r="A95" s="1" t="s">
        <v>3580</v>
      </c>
      <c r="B95" s="11">
        <v>45.6</v>
      </c>
      <c r="C95" s="7"/>
      <c r="D95" s="16"/>
      <c r="E95" s="9"/>
      <c r="F95" s="16"/>
      <c r="G95" s="40"/>
      <c r="H95" s="16"/>
      <c r="I95" s="16"/>
      <c r="J95" s="9"/>
      <c r="K95" s="9"/>
      <c r="L95" s="16"/>
    </row>
    <row r="96" spans="1:12">
      <c r="A96" s="1" t="s">
        <v>3581</v>
      </c>
      <c r="B96" s="7">
        <v>42.94</v>
      </c>
      <c r="C96" s="7">
        <v>22.16</v>
      </c>
      <c r="D96" s="16">
        <f>(C96-B96)/B96</f>
        <v>-0.48393106660456447</v>
      </c>
      <c r="E96" s="9">
        <v>23.6</v>
      </c>
      <c r="F96" s="16">
        <f t="shared" si="1"/>
        <v>-6.1016949152542424E-2</v>
      </c>
      <c r="G96" s="40"/>
      <c r="H96" s="16"/>
      <c r="I96" s="16"/>
      <c r="J96" s="9"/>
      <c r="K96" s="9"/>
      <c r="L96" s="16"/>
    </row>
    <row r="97" spans="1:12">
      <c r="A97" s="1" t="s">
        <v>3582</v>
      </c>
      <c r="B97" s="7">
        <v>42.94</v>
      </c>
      <c r="C97" s="7">
        <v>22.16</v>
      </c>
      <c r="D97" s="16">
        <f>(C97-B97)/B97</f>
        <v>-0.48393106660456447</v>
      </c>
      <c r="E97" s="9">
        <v>23.6</v>
      </c>
      <c r="F97" s="16">
        <f t="shared" si="1"/>
        <v>-6.1016949152542424E-2</v>
      </c>
      <c r="G97" s="40"/>
      <c r="H97" s="16"/>
      <c r="I97" s="16"/>
      <c r="J97" s="9"/>
      <c r="K97" s="9"/>
      <c r="L97" s="16"/>
    </row>
    <row r="98" spans="1:12">
      <c r="A98" s="1" t="s">
        <v>3583</v>
      </c>
      <c r="B98" s="7">
        <v>42.94</v>
      </c>
      <c r="C98" s="7">
        <v>22.16</v>
      </c>
      <c r="D98" s="16">
        <f>(C98-B98)/B98</f>
        <v>-0.48393106660456447</v>
      </c>
      <c r="E98" s="9">
        <v>23.6</v>
      </c>
      <c r="F98" s="16">
        <f t="shared" si="1"/>
        <v>-6.1016949152542424E-2</v>
      </c>
      <c r="G98" s="40"/>
      <c r="H98" s="16"/>
      <c r="I98" s="16"/>
      <c r="J98" s="9"/>
      <c r="K98" s="9"/>
      <c r="L98" s="16"/>
    </row>
    <row r="99" spans="1:12">
      <c r="A99" s="1" t="s">
        <v>3584</v>
      </c>
      <c r="B99" s="7">
        <v>42.94</v>
      </c>
      <c r="C99" s="7">
        <v>22.16</v>
      </c>
      <c r="D99" s="16">
        <f>(C99-B99)/B99</f>
        <v>-0.48393106660456447</v>
      </c>
      <c r="E99" s="9">
        <v>23.6</v>
      </c>
      <c r="F99" s="16">
        <f t="shared" si="1"/>
        <v>-6.1016949152542424E-2</v>
      </c>
      <c r="G99" s="40"/>
      <c r="H99" s="16"/>
      <c r="I99" s="16"/>
      <c r="J99" s="9"/>
      <c r="K99" s="9"/>
      <c r="L99" s="16"/>
    </row>
    <row r="100" spans="1:12">
      <c r="A100" s="1"/>
      <c r="B100" s="7"/>
      <c r="C100" s="7"/>
      <c r="D100" s="24"/>
      <c r="E100" s="9"/>
      <c r="F100" s="16"/>
      <c r="G100" s="40"/>
      <c r="H100" s="16"/>
      <c r="I100" s="16"/>
      <c r="J100" s="9"/>
      <c r="K100" s="9"/>
      <c r="L100" s="16"/>
    </row>
    <row r="101" spans="1:12">
      <c r="A101" s="1"/>
      <c r="B101" s="7"/>
      <c r="C101" s="7"/>
      <c r="D101" s="24"/>
      <c r="E101" s="9"/>
      <c r="F101" s="16"/>
      <c r="G101" s="40"/>
      <c r="H101" s="16"/>
      <c r="I101" s="16"/>
      <c r="J101" s="9"/>
      <c r="K101" s="9"/>
      <c r="L101" s="16"/>
    </row>
    <row r="102" spans="1:12">
      <c r="A102" s="2" t="s">
        <v>3930</v>
      </c>
      <c r="B102" s="7"/>
      <c r="C102" s="31" t="s">
        <v>3997</v>
      </c>
      <c r="D102" s="52"/>
      <c r="E102" s="44"/>
      <c r="F102" s="43"/>
      <c r="G102" s="23" t="s">
        <v>3983</v>
      </c>
      <c r="H102" s="43">
        <f>AVERAGE(F103:F105)</f>
        <v>4.8441078034172934E-2</v>
      </c>
      <c r="I102" s="43"/>
      <c r="J102" s="44"/>
      <c r="K102" s="44"/>
      <c r="L102" s="43"/>
    </row>
    <row r="103" spans="1:12" ht="12.75" customHeight="1">
      <c r="A103" s="1" t="s">
        <v>3784</v>
      </c>
      <c r="B103" s="7">
        <v>55.63</v>
      </c>
      <c r="C103" s="7">
        <v>56.23</v>
      </c>
      <c r="D103" s="16">
        <f>(C103-B103)/B103</f>
        <v>1.0785547366528748E-2</v>
      </c>
      <c r="E103" s="9">
        <v>56.77</v>
      </c>
      <c r="F103" s="16">
        <f>(C103-E103)/E103</f>
        <v>-9.5120662321649847E-3</v>
      </c>
      <c r="G103" s="40"/>
      <c r="H103" s="16"/>
      <c r="I103" s="16"/>
      <c r="J103" s="9"/>
      <c r="K103" s="9"/>
      <c r="L103" s="16"/>
    </row>
    <row r="104" spans="1:12" ht="12.75" customHeight="1">
      <c r="A104" s="1" t="s">
        <v>3588</v>
      </c>
      <c r="B104" s="7">
        <v>58.99</v>
      </c>
      <c r="C104" s="7">
        <v>59.52</v>
      </c>
      <c r="D104" s="16">
        <f>(C104-B104)/B104</f>
        <v>8.9845736565519769E-3</v>
      </c>
      <c r="E104" s="9">
        <v>56.77</v>
      </c>
      <c r="F104" s="16">
        <f>(C104-E104)/E104</f>
        <v>4.8441078034172975E-2</v>
      </c>
      <c r="G104" s="40"/>
      <c r="H104" s="16"/>
      <c r="I104" s="16"/>
      <c r="J104" s="9"/>
      <c r="K104" s="9"/>
      <c r="L104" s="16"/>
    </row>
    <row r="105" spans="1:12" ht="12.75" customHeight="1">
      <c r="A105" s="1" t="s">
        <v>3589</v>
      </c>
      <c r="B105" s="7">
        <v>62.36</v>
      </c>
      <c r="C105" s="7">
        <v>62.81</v>
      </c>
      <c r="D105" s="16">
        <f>(C105-B105)/B105</f>
        <v>7.2161642078255751E-3</v>
      </c>
      <c r="E105" s="9">
        <v>56.77</v>
      </c>
      <c r="F105" s="16">
        <f>(C105-E105)/E105</f>
        <v>0.10639422230051081</v>
      </c>
      <c r="G105" s="40"/>
      <c r="H105" s="16"/>
      <c r="I105" s="16"/>
      <c r="J105" s="9"/>
      <c r="K105" s="9"/>
      <c r="L105" s="16"/>
    </row>
    <row r="106" spans="1:12">
      <c r="A106" s="1"/>
      <c r="B106" s="7"/>
      <c r="C106" s="7"/>
      <c r="D106" s="24"/>
      <c r="E106" s="9"/>
      <c r="F106" s="16"/>
      <c r="G106" s="40"/>
      <c r="H106" s="16"/>
      <c r="I106" s="16"/>
      <c r="J106" s="9"/>
      <c r="K106" s="9"/>
      <c r="L106" s="16"/>
    </row>
    <row r="107" spans="1:12" ht="12.75" customHeight="1">
      <c r="A107" s="2" t="s">
        <v>3925</v>
      </c>
      <c r="B107" s="12" t="s">
        <v>3510</v>
      </c>
      <c r="C107" s="55" t="s">
        <v>3497</v>
      </c>
      <c r="D107" s="54"/>
      <c r="E107" s="44"/>
      <c r="F107" s="43"/>
      <c r="G107" s="23" t="s">
        <v>3983</v>
      </c>
      <c r="H107" s="43">
        <f>AVERAGE(F108:F111)</f>
        <v>0.13229613733905576</v>
      </c>
      <c r="I107" s="43"/>
      <c r="J107" s="44"/>
      <c r="K107" s="44"/>
      <c r="L107" s="43"/>
    </row>
    <row r="108" spans="1:12" ht="12.75" customHeight="1">
      <c r="A108" s="1" t="s">
        <v>3786</v>
      </c>
      <c r="B108" s="7">
        <v>49.7</v>
      </c>
      <c r="C108" s="7">
        <v>49.95</v>
      </c>
      <c r="D108" s="16">
        <f>(C108-B108)/B108</f>
        <v>5.0301810865191147E-3</v>
      </c>
      <c r="E108" s="9">
        <v>46.6</v>
      </c>
      <c r="F108" s="16">
        <f>(C108-E108)/E108</f>
        <v>7.1888412017167405E-2</v>
      </c>
      <c r="G108" s="40"/>
      <c r="H108" s="16"/>
      <c r="I108" s="16"/>
      <c r="J108" s="9"/>
      <c r="K108" s="9"/>
      <c r="L108" s="16"/>
    </row>
    <row r="109" spans="1:12" ht="12.75" customHeight="1">
      <c r="A109" s="1" t="s">
        <v>3787</v>
      </c>
      <c r="B109" s="7">
        <v>50.7</v>
      </c>
      <c r="C109" s="7">
        <v>50.95</v>
      </c>
      <c r="D109" s="16">
        <f>(C109-B109)/B109</f>
        <v>4.9309664694280079E-3</v>
      </c>
      <c r="E109" s="9">
        <v>46.6</v>
      </c>
      <c r="F109" s="16">
        <f>(C109-E109)/E109</f>
        <v>9.3347639484978567E-2</v>
      </c>
      <c r="G109" s="40"/>
      <c r="H109" s="16"/>
      <c r="I109" s="16"/>
      <c r="J109" s="9"/>
      <c r="K109" s="9"/>
      <c r="L109" s="16"/>
    </row>
    <row r="110" spans="1:12" ht="12.75" customHeight="1">
      <c r="A110" s="1" t="s">
        <v>3788</v>
      </c>
      <c r="B110" s="7">
        <v>53.01</v>
      </c>
      <c r="C110" s="7">
        <v>53.26</v>
      </c>
      <c r="D110" s="16">
        <f>(C110-B110)/B110</f>
        <v>4.7160913035276366E-3</v>
      </c>
      <c r="E110" s="9">
        <v>46.6</v>
      </c>
      <c r="F110" s="16">
        <f>(C110-E110)/E110</f>
        <v>0.14291845493562225</v>
      </c>
      <c r="G110" s="40"/>
      <c r="H110" s="16"/>
      <c r="I110" s="16"/>
      <c r="J110" s="9"/>
      <c r="K110" s="9"/>
      <c r="L110" s="16"/>
    </row>
    <row r="111" spans="1:12" ht="12.75" customHeight="1">
      <c r="A111" s="1" t="s">
        <v>3789</v>
      </c>
      <c r="B111" s="7">
        <v>56.65</v>
      </c>
      <c r="C111" s="7">
        <v>56.9</v>
      </c>
      <c r="D111" s="16">
        <f>(C111-B111)/B111</f>
        <v>4.4130626654898504E-3</v>
      </c>
      <c r="E111" s="9">
        <v>46.6</v>
      </c>
      <c r="F111" s="16">
        <f>(C111-E111)/E111</f>
        <v>0.22103004291845488</v>
      </c>
      <c r="G111" s="40"/>
      <c r="H111" s="16"/>
      <c r="I111" s="16"/>
      <c r="J111" s="9"/>
      <c r="K111" s="9"/>
      <c r="L111" s="16"/>
    </row>
    <row r="112" spans="1:12">
      <c r="A112" s="1"/>
      <c r="B112" s="7"/>
      <c r="C112" s="7"/>
      <c r="D112" s="24"/>
      <c r="E112" s="9"/>
      <c r="F112" s="16"/>
      <c r="G112" s="40"/>
      <c r="H112" s="16"/>
      <c r="I112" s="16"/>
      <c r="J112" s="9"/>
      <c r="K112" s="9"/>
      <c r="L112" s="16"/>
    </row>
    <row r="113" spans="1:12" ht="12.75" customHeight="1">
      <c r="A113" s="2" t="s">
        <v>3592</v>
      </c>
      <c r="B113" s="10"/>
      <c r="C113" s="10"/>
      <c r="D113" s="27"/>
      <c r="E113" s="9"/>
      <c r="F113" s="16"/>
      <c r="G113" s="40"/>
      <c r="H113" s="16"/>
      <c r="I113" s="16"/>
      <c r="J113" s="9"/>
      <c r="K113" s="9"/>
      <c r="L113" s="16"/>
    </row>
    <row r="114" spans="1:12" ht="12.75" customHeight="1">
      <c r="A114" s="3" t="s">
        <v>3569</v>
      </c>
      <c r="B114" s="12" t="s">
        <v>3510</v>
      </c>
      <c r="C114" s="44" t="s">
        <v>3487</v>
      </c>
      <c r="D114" s="54"/>
      <c r="E114" s="44"/>
      <c r="F114" s="43"/>
      <c r="G114" s="23" t="s">
        <v>3983</v>
      </c>
      <c r="H114" s="43">
        <f>AVERAGE(F115:F242)</f>
        <v>4.5790538437597249E-2</v>
      </c>
      <c r="I114" s="43"/>
      <c r="J114" s="8"/>
      <c r="K114" s="8"/>
      <c r="L114" s="43"/>
    </row>
    <row r="115" spans="1:12" ht="12.75" customHeight="1">
      <c r="A115" s="1" t="s">
        <v>3573</v>
      </c>
      <c r="B115" s="7">
        <v>53.92</v>
      </c>
      <c r="C115" s="7">
        <v>55.67</v>
      </c>
      <c r="D115" s="16">
        <f t="shared" ref="D115:D139" si="2">(C115-B115)/B115</f>
        <v>3.245548961424332E-2</v>
      </c>
      <c r="E115" s="9">
        <v>57.12</v>
      </c>
      <c r="F115" s="16">
        <f t="shared" ref="F115:F139" si="3">(C115-E115)/E115</f>
        <v>-2.5385154061624577E-2</v>
      </c>
      <c r="G115" s="40"/>
      <c r="H115" s="16"/>
      <c r="I115" s="16"/>
      <c r="J115" s="9"/>
      <c r="K115" s="9"/>
      <c r="L115" s="16"/>
    </row>
    <row r="116" spans="1:12" ht="12.75" customHeight="1">
      <c r="A116" s="1" t="s">
        <v>3575</v>
      </c>
      <c r="B116" s="7">
        <v>54.87</v>
      </c>
      <c r="C116" s="7">
        <v>56.62</v>
      </c>
      <c r="D116" s="16">
        <f t="shared" si="2"/>
        <v>3.1893566611991983E-2</v>
      </c>
      <c r="E116" s="9">
        <v>57.12</v>
      </c>
      <c r="F116" s="16">
        <f t="shared" si="3"/>
        <v>-8.7535014005602242E-3</v>
      </c>
      <c r="G116" s="40"/>
      <c r="H116" s="16"/>
      <c r="I116" s="16"/>
      <c r="J116" s="9"/>
      <c r="K116" s="9"/>
      <c r="L116" s="16"/>
    </row>
    <row r="117" spans="1:12" ht="12.75" customHeight="1">
      <c r="A117" s="1" t="s">
        <v>3576</v>
      </c>
      <c r="B117" s="7">
        <v>55.16</v>
      </c>
      <c r="C117" s="7">
        <v>56.91</v>
      </c>
      <c r="D117" s="16">
        <f t="shared" si="2"/>
        <v>3.1725888324873101E-2</v>
      </c>
      <c r="E117" s="9">
        <v>57.12</v>
      </c>
      <c r="F117" s="16">
        <f t="shared" si="3"/>
        <v>-3.6764705882353092E-3</v>
      </c>
      <c r="G117" s="40"/>
      <c r="H117" s="16"/>
      <c r="I117" s="16"/>
      <c r="J117" s="9"/>
      <c r="K117" s="9"/>
      <c r="L117" s="16"/>
    </row>
    <row r="118" spans="1:12" ht="12.75" customHeight="1">
      <c r="A118" s="1" t="s">
        <v>3577</v>
      </c>
      <c r="B118" s="7">
        <v>56.65</v>
      </c>
      <c r="C118" s="7">
        <v>58.4</v>
      </c>
      <c r="D118" s="16">
        <f t="shared" si="2"/>
        <v>3.089143865842895E-2</v>
      </c>
      <c r="E118" s="9">
        <v>57.12</v>
      </c>
      <c r="F118" s="16">
        <f t="shared" si="3"/>
        <v>2.2408963585434195E-2</v>
      </c>
      <c r="G118" s="40"/>
      <c r="H118" s="16"/>
      <c r="I118" s="16"/>
      <c r="J118" s="9"/>
      <c r="K118" s="9"/>
      <c r="L118" s="16"/>
    </row>
    <row r="119" spans="1:12" ht="12.75" customHeight="1">
      <c r="A119" s="1" t="s">
        <v>3579</v>
      </c>
      <c r="B119" s="7">
        <v>57.75</v>
      </c>
      <c r="C119" s="7">
        <v>59.5</v>
      </c>
      <c r="D119" s="16">
        <f t="shared" si="2"/>
        <v>3.0303030303030304E-2</v>
      </c>
      <c r="E119" s="9">
        <v>57.12</v>
      </c>
      <c r="F119" s="16">
        <f t="shared" si="3"/>
        <v>4.1666666666666713E-2</v>
      </c>
      <c r="G119" s="40"/>
      <c r="H119" s="16"/>
      <c r="I119" s="16"/>
      <c r="J119" s="9"/>
      <c r="K119" s="9"/>
      <c r="L119" s="16"/>
    </row>
    <row r="120" spans="1:12" ht="12.75" customHeight="1">
      <c r="A120" s="1" t="s">
        <v>3580</v>
      </c>
      <c r="B120" s="7">
        <v>56.87</v>
      </c>
      <c r="C120" s="7">
        <v>58.62</v>
      </c>
      <c r="D120" s="16">
        <f t="shared" si="2"/>
        <v>3.0771935994373133E-2</v>
      </c>
      <c r="E120" s="9">
        <v>57.12</v>
      </c>
      <c r="F120" s="16">
        <f t="shared" si="3"/>
        <v>2.6260504201680673E-2</v>
      </c>
      <c r="G120" s="40"/>
      <c r="H120" s="16"/>
      <c r="I120" s="16"/>
      <c r="J120" s="9"/>
      <c r="K120" s="9"/>
      <c r="L120" s="16"/>
    </row>
    <row r="121" spans="1:12" ht="12.75" customHeight="1">
      <c r="A121" s="1" t="s">
        <v>3593</v>
      </c>
      <c r="B121" s="7">
        <v>57.97</v>
      </c>
      <c r="C121" s="7">
        <v>59.72</v>
      </c>
      <c r="D121" s="16">
        <f t="shared" si="2"/>
        <v>3.0188028290495085E-2</v>
      </c>
      <c r="E121" s="9">
        <v>57.12</v>
      </c>
      <c r="F121" s="16">
        <f t="shared" si="3"/>
        <v>4.5518207282913191E-2</v>
      </c>
      <c r="G121" s="40"/>
      <c r="H121" s="16"/>
      <c r="I121" s="16"/>
      <c r="J121" s="9"/>
      <c r="K121" s="9"/>
      <c r="L121" s="16"/>
    </row>
    <row r="122" spans="1:12" ht="12.75" customHeight="1">
      <c r="A122" s="1" t="s">
        <v>3594</v>
      </c>
      <c r="B122" s="7">
        <v>56.98</v>
      </c>
      <c r="C122" s="7">
        <v>58.73</v>
      </c>
      <c r="D122" s="16">
        <f t="shared" si="2"/>
        <v>3.0712530712530713E-2</v>
      </c>
      <c r="E122" s="9">
        <v>57.12</v>
      </c>
      <c r="F122" s="16">
        <f t="shared" si="3"/>
        <v>2.8186274509803912E-2</v>
      </c>
      <c r="G122" s="40"/>
      <c r="H122" s="16"/>
      <c r="I122" s="16"/>
      <c r="J122" s="9"/>
      <c r="K122" s="9"/>
      <c r="L122" s="16"/>
    </row>
    <row r="123" spans="1:12" ht="12.75" customHeight="1">
      <c r="A123" s="1" t="s">
        <v>3595</v>
      </c>
      <c r="B123" s="7">
        <v>58.08</v>
      </c>
      <c r="C123" s="7">
        <v>59.83</v>
      </c>
      <c r="D123" s="16">
        <f t="shared" si="2"/>
        <v>3.0130853994490361E-2</v>
      </c>
      <c r="E123" s="9">
        <v>57.12</v>
      </c>
      <c r="F123" s="16">
        <f t="shared" si="3"/>
        <v>4.7443977591036433E-2</v>
      </c>
      <c r="G123" s="40"/>
      <c r="H123" s="16"/>
      <c r="I123" s="16"/>
      <c r="J123" s="9"/>
      <c r="K123" s="9"/>
      <c r="L123" s="16"/>
    </row>
    <row r="124" spans="1:12" ht="12.75" customHeight="1">
      <c r="A124" s="1" t="s">
        <v>3596</v>
      </c>
      <c r="B124" s="7">
        <v>57.1</v>
      </c>
      <c r="C124" s="7">
        <v>58.85</v>
      </c>
      <c r="D124" s="16">
        <f t="shared" si="2"/>
        <v>3.0647985989492119E-2</v>
      </c>
      <c r="E124" s="9">
        <v>57.12</v>
      </c>
      <c r="F124" s="16">
        <f t="shared" si="3"/>
        <v>3.0287114845938445E-2</v>
      </c>
      <c r="G124" s="40"/>
      <c r="H124" s="16"/>
      <c r="I124" s="16"/>
      <c r="J124" s="9"/>
      <c r="K124" s="9"/>
      <c r="L124" s="16"/>
    </row>
    <row r="125" spans="1:12" ht="12.75" customHeight="1">
      <c r="A125" s="1" t="s">
        <v>3598</v>
      </c>
      <c r="B125" s="7">
        <v>58.2</v>
      </c>
      <c r="C125" s="7">
        <v>59.95</v>
      </c>
      <c r="D125" s="16">
        <f t="shared" si="2"/>
        <v>3.0068728522336767E-2</v>
      </c>
      <c r="E125" s="9">
        <v>57.12</v>
      </c>
      <c r="F125" s="16">
        <f t="shared" si="3"/>
        <v>4.9544817927170963E-2</v>
      </c>
      <c r="G125" s="40"/>
      <c r="H125" s="16"/>
      <c r="I125" s="16"/>
      <c r="J125" s="9"/>
      <c r="K125" s="9"/>
      <c r="L125" s="16"/>
    </row>
    <row r="126" spans="1:12" ht="12.75" customHeight="1">
      <c r="A126" s="1" t="s">
        <v>3790</v>
      </c>
      <c r="B126" s="7">
        <v>57.27</v>
      </c>
      <c r="C126" s="7">
        <v>59.02</v>
      </c>
      <c r="D126" s="16">
        <f t="shared" si="2"/>
        <v>3.0557010651300853E-2</v>
      </c>
      <c r="E126" s="9">
        <v>57.12</v>
      </c>
      <c r="F126" s="16">
        <f t="shared" si="3"/>
        <v>3.3263305322128955E-2</v>
      </c>
      <c r="G126" s="40"/>
      <c r="H126" s="16"/>
      <c r="I126" s="16"/>
      <c r="J126" s="9"/>
      <c r="K126" s="9"/>
      <c r="L126" s="16"/>
    </row>
    <row r="127" spans="1:12" ht="12.75" customHeight="1">
      <c r="A127" s="1" t="s">
        <v>3791</v>
      </c>
      <c r="B127" s="7">
        <v>57.37</v>
      </c>
      <c r="C127" s="7">
        <v>59.12</v>
      </c>
      <c r="D127" s="16">
        <f t="shared" si="2"/>
        <v>3.0503747603276975E-2</v>
      </c>
      <c r="E127" s="9">
        <v>57.12</v>
      </c>
      <c r="F127" s="16">
        <f t="shared" si="3"/>
        <v>3.5014005602240897E-2</v>
      </c>
      <c r="G127" s="40"/>
      <c r="H127" s="16"/>
      <c r="I127" s="16"/>
      <c r="J127" s="9"/>
      <c r="K127" s="9"/>
      <c r="L127" s="16"/>
    </row>
    <row r="128" spans="1:12" ht="12.75" customHeight="1">
      <c r="A128" s="1" t="s">
        <v>3792</v>
      </c>
      <c r="B128" s="7">
        <v>57.4</v>
      </c>
      <c r="C128" s="7">
        <v>59.15</v>
      </c>
      <c r="D128" s="16">
        <f t="shared" si="2"/>
        <v>3.048780487804878E-2</v>
      </c>
      <c r="E128" s="9">
        <v>57.12</v>
      </c>
      <c r="F128" s="16">
        <f t="shared" si="3"/>
        <v>3.5539215686274529E-2</v>
      </c>
      <c r="G128" s="40"/>
      <c r="H128" s="16"/>
      <c r="I128" s="16"/>
      <c r="J128" s="9"/>
      <c r="K128" s="9"/>
      <c r="L128" s="16"/>
    </row>
    <row r="129" spans="1:12" ht="12.75" customHeight="1">
      <c r="A129" s="1" t="s">
        <v>3793</v>
      </c>
      <c r="B129" s="7">
        <v>57.48</v>
      </c>
      <c r="C129" s="7">
        <v>59.23</v>
      </c>
      <c r="D129" s="16">
        <f t="shared" si="2"/>
        <v>3.0445372303409882E-2</v>
      </c>
      <c r="E129" s="9">
        <v>57.12</v>
      </c>
      <c r="F129" s="16">
        <f t="shared" si="3"/>
        <v>3.6939775910364139E-2</v>
      </c>
      <c r="G129" s="40"/>
      <c r="H129" s="16"/>
      <c r="I129" s="16"/>
      <c r="J129" s="9"/>
      <c r="K129" s="9"/>
      <c r="L129" s="16"/>
    </row>
    <row r="130" spans="1:12" ht="12.75" customHeight="1">
      <c r="A130" s="1" t="s">
        <v>3794</v>
      </c>
      <c r="B130" s="7">
        <v>57.6</v>
      </c>
      <c r="C130" s="7">
        <v>59.35</v>
      </c>
      <c r="D130" s="16">
        <f t="shared" si="2"/>
        <v>3.0381944444444444E-2</v>
      </c>
      <c r="E130" s="9">
        <v>57.12</v>
      </c>
      <c r="F130" s="16">
        <f t="shared" si="3"/>
        <v>3.9040616246498669E-2</v>
      </c>
      <c r="G130" s="40"/>
      <c r="H130" s="16"/>
      <c r="I130" s="16"/>
      <c r="J130" s="9"/>
      <c r="K130" s="9"/>
      <c r="L130" s="16"/>
    </row>
    <row r="131" spans="1:12" ht="12.75" customHeight="1">
      <c r="A131" s="1" t="s">
        <v>3795</v>
      </c>
      <c r="B131" s="7">
        <v>57.77</v>
      </c>
      <c r="C131" s="7">
        <v>59.52</v>
      </c>
      <c r="D131" s="16">
        <f t="shared" si="2"/>
        <v>3.0292539380301194E-2</v>
      </c>
      <c r="E131" s="9">
        <v>57.12</v>
      </c>
      <c r="F131" s="16">
        <f t="shared" si="3"/>
        <v>4.2016806722689176E-2</v>
      </c>
      <c r="G131" s="40"/>
      <c r="H131" s="16"/>
      <c r="I131" s="16"/>
      <c r="J131" s="9"/>
      <c r="K131" s="9"/>
      <c r="L131" s="16"/>
    </row>
    <row r="132" spans="1:12" ht="12.75" customHeight="1">
      <c r="A132" s="1" t="s">
        <v>3796</v>
      </c>
      <c r="B132" s="7">
        <v>57.87</v>
      </c>
      <c r="C132" s="7">
        <v>59.62</v>
      </c>
      <c r="D132" s="16">
        <f t="shared" si="2"/>
        <v>3.0240193537238641E-2</v>
      </c>
      <c r="E132" s="9">
        <v>57.12</v>
      </c>
      <c r="F132" s="16">
        <f t="shared" si="3"/>
        <v>4.3767507002801125E-2</v>
      </c>
      <c r="G132" s="40"/>
      <c r="H132" s="16"/>
      <c r="I132" s="16"/>
      <c r="J132" s="9"/>
      <c r="K132" s="9"/>
      <c r="L132" s="16"/>
    </row>
    <row r="133" spans="1:12" ht="12.75" customHeight="1">
      <c r="A133" s="1" t="s">
        <v>3797</v>
      </c>
      <c r="B133" s="7">
        <v>57.98</v>
      </c>
      <c r="C133" s="7">
        <v>59.73</v>
      </c>
      <c r="D133" s="16">
        <f t="shared" si="2"/>
        <v>3.0182821662642294E-2</v>
      </c>
      <c r="E133" s="9">
        <v>57.12</v>
      </c>
      <c r="F133" s="16">
        <f t="shared" si="3"/>
        <v>4.569327731092436E-2</v>
      </c>
      <c r="G133" s="40"/>
      <c r="H133" s="16"/>
      <c r="I133" s="16"/>
      <c r="J133" s="9"/>
      <c r="K133" s="9"/>
      <c r="L133" s="16"/>
    </row>
    <row r="134" spans="1:12" ht="12.75" customHeight="1">
      <c r="A134" s="1" t="s">
        <v>3798</v>
      </c>
      <c r="B134" s="7">
        <v>58.1</v>
      </c>
      <c r="C134" s="7">
        <v>59.85</v>
      </c>
      <c r="D134" s="16">
        <f t="shared" si="2"/>
        <v>3.0120481927710843E-2</v>
      </c>
      <c r="E134" s="9">
        <v>57.12</v>
      </c>
      <c r="F134" s="16">
        <f t="shared" si="3"/>
        <v>4.7794117647058897E-2</v>
      </c>
      <c r="G134" s="40"/>
      <c r="H134" s="16"/>
      <c r="I134" s="16"/>
      <c r="J134" s="9"/>
      <c r="K134" s="9"/>
      <c r="L134" s="16"/>
    </row>
    <row r="135" spans="1:12" ht="12.75" customHeight="1">
      <c r="A135" s="1" t="s">
        <v>3799</v>
      </c>
      <c r="B135" s="7">
        <v>58.27</v>
      </c>
      <c r="C135" s="7">
        <v>60.02</v>
      </c>
      <c r="D135" s="16">
        <f t="shared" si="2"/>
        <v>3.0032606830272868E-2</v>
      </c>
      <c r="E135" s="9">
        <v>57.12</v>
      </c>
      <c r="F135" s="16">
        <f t="shared" si="3"/>
        <v>5.0770308123249404E-2</v>
      </c>
      <c r="G135" s="40"/>
      <c r="H135" s="16"/>
      <c r="I135" s="16"/>
      <c r="J135" s="9"/>
      <c r="K135" s="9"/>
      <c r="L135" s="16"/>
    </row>
    <row r="136" spans="1:12" ht="12.75" customHeight="1">
      <c r="A136" s="1" t="s">
        <v>3800</v>
      </c>
      <c r="B136" s="7">
        <v>58.37</v>
      </c>
      <c r="C136" s="7">
        <v>60.12</v>
      </c>
      <c r="D136" s="16">
        <f t="shared" si="2"/>
        <v>2.9981154702758268E-2</v>
      </c>
      <c r="E136" s="9">
        <v>57.12</v>
      </c>
      <c r="F136" s="16">
        <f t="shared" si="3"/>
        <v>5.2521008403361345E-2</v>
      </c>
      <c r="G136" s="40"/>
      <c r="H136" s="16"/>
      <c r="I136" s="16"/>
      <c r="J136" s="9"/>
      <c r="K136" s="9"/>
      <c r="L136" s="16"/>
    </row>
    <row r="137" spans="1:12" ht="12.75" customHeight="1">
      <c r="A137" s="1" t="s">
        <v>3801</v>
      </c>
      <c r="B137" s="7">
        <v>58.48</v>
      </c>
      <c r="C137" s="7">
        <v>60.23</v>
      </c>
      <c r="D137" s="16">
        <f t="shared" si="2"/>
        <v>2.9924760601915186E-2</v>
      </c>
      <c r="E137" s="9">
        <v>57.12</v>
      </c>
      <c r="F137" s="16">
        <f t="shared" si="3"/>
        <v>5.4446778711484588E-2</v>
      </c>
      <c r="G137" s="40"/>
      <c r="H137" s="16"/>
      <c r="I137" s="16"/>
      <c r="J137" s="9"/>
      <c r="K137" s="9"/>
      <c r="L137" s="16"/>
    </row>
    <row r="138" spans="1:12" ht="12.75" customHeight="1">
      <c r="A138" s="1" t="s">
        <v>3802</v>
      </c>
      <c r="B138" s="7">
        <v>58.6</v>
      </c>
      <c r="C138" s="7">
        <v>60.35</v>
      </c>
      <c r="D138" s="16">
        <f t="shared" si="2"/>
        <v>2.9863481228668942E-2</v>
      </c>
      <c r="E138" s="9">
        <v>57.12</v>
      </c>
      <c r="F138" s="16">
        <f t="shared" si="3"/>
        <v>5.6547619047619117E-2</v>
      </c>
      <c r="G138" s="40"/>
      <c r="H138" s="16"/>
      <c r="I138" s="16"/>
      <c r="J138" s="9"/>
      <c r="K138" s="9"/>
      <c r="L138" s="16"/>
    </row>
    <row r="139" spans="1:12" ht="12.75" customHeight="1">
      <c r="A139" s="1" t="s">
        <v>3803</v>
      </c>
      <c r="B139" s="7">
        <v>58.77</v>
      </c>
      <c r="C139" s="7">
        <v>60.52</v>
      </c>
      <c r="D139" s="16">
        <f t="shared" si="2"/>
        <v>2.9777097158414156E-2</v>
      </c>
      <c r="E139" s="9">
        <v>57.12</v>
      </c>
      <c r="F139" s="16">
        <f t="shared" si="3"/>
        <v>5.9523809523809625E-2</v>
      </c>
      <c r="G139" s="40"/>
      <c r="H139" s="16"/>
      <c r="I139" s="16"/>
      <c r="J139" s="9"/>
      <c r="K139" s="9"/>
      <c r="L139" s="16"/>
    </row>
    <row r="140" spans="1:12" ht="12.75" customHeight="1">
      <c r="A140" s="1" t="s">
        <v>3804</v>
      </c>
      <c r="B140" s="7"/>
      <c r="C140" s="7"/>
      <c r="D140" s="24"/>
      <c r="E140" s="9"/>
      <c r="F140" s="16"/>
      <c r="G140" s="40"/>
      <c r="H140" s="16"/>
      <c r="I140" s="16"/>
      <c r="J140" s="9"/>
      <c r="K140" s="9"/>
      <c r="L140" s="16"/>
    </row>
    <row r="141" spans="1:12" ht="12.75" customHeight="1">
      <c r="A141" s="1" t="s">
        <v>3805</v>
      </c>
      <c r="B141" s="7"/>
      <c r="C141" s="7"/>
      <c r="D141" s="24"/>
      <c r="E141" s="9"/>
      <c r="F141" s="16"/>
      <c r="G141" s="40"/>
      <c r="H141" s="16"/>
      <c r="I141" s="16"/>
      <c r="J141" s="9"/>
      <c r="K141" s="9"/>
      <c r="L141" s="16"/>
    </row>
    <row r="142" spans="1:12">
      <c r="A142" s="1"/>
      <c r="B142" s="7"/>
      <c r="C142" s="7"/>
      <c r="D142" s="24"/>
      <c r="E142" s="9"/>
      <c r="F142" s="16"/>
      <c r="G142" s="40"/>
      <c r="H142" s="16"/>
      <c r="I142" s="16"/>
      <c r="J142" s="9"/>
      <c r="K142" s="9"/>
      <c r="L142" s="16"/>
    </row>
    <row r="143" spans="1:12">
      <c r="A143" s="2" t="s">
        <v>3806</v>
      </c>
      <c r="B143" s="7"/>
      <c r="C143" s="7"/>
      <c r="D143" s="24"/>
      <c r="E143" s="9"/>
      <c r="F143" s="16"/>
      <c r="G143" s="40"/>
      <c r="H143" s="16"/>
      <c r="I143" s="16"/>
      <c r="J143" s="9"/>
      <c r="K143" s="9"/>
      <c r="L143" s="16"/>
    </row>
    <row r="144" spans="1:12" ht="25.5">
      <c r="A144" s="2" t="s">
        <v>3807</v>
      </c>
      <c r="B144" s="7"/>
      <c r="C144" s="7"/>
      <c r="D144" s="24"/>
      <c r="E144" s="9"/>
      <c r="F144" s="16"/>
      <c r="G144" s="23" t="s">
        <v>3983</v>
      </c>
      <c r="H144" s="16"/>
      <c r="I144" s="16"/>
      <c r="J144" s="9"/>
      <c r="K144" s="9"/>
      <c r="L144" s="16"/>
    </row>
    <row r="145" spans="1:12" ht="12.75" customHeight="1">
      <c r="A145" s="3" t="s">
        <v>3931</v>
      </c>
      <c r="B145" s="12" t="s">
        <v>3510</v>
      </c>
      <c r="C145" s="51"/>
      <c r="D145" s="54"/>
      <c r="E145" s="44"/>
      <c r="F145" s="43"/>
      <c r="G145" s="23"/>
      <c r="H145" s="43"/>
      <c r="I145" s="43"/>
      <c r="J145" s="44"/>
      <c r="K145" s="44"/>
      <c r="L145" s="43"/>
    </row>
    <row r="146" spans="1:12">
      <c r="A146" s="6" t="s">
        <v>3573</v>
      </c>
      <c r="B146" s="7"/>
      <c r="C146" s="7"/>
      <c r="D146" s="24"/>
      <c r="E146" s="9"/>
      <c r="F146" s="16"/>
      <c r="G146" s="40"/>
      <c r="H146" s="16"/>
      <c r="I146" s="16"/>
      <c r="J146" s="9"/>
      <c r="K146" s="9"/>
      <c r="L146" s="16"/>
    </row>
    <row r="147" spans="1:12" ht="12.75" customHeight="1">
      <c r="A147" s="1" t="s">
        <v>3808</v>
      </c>
      <c r="B147" s="7">
        <v>57.6</v>
      </c>
      <c r="C147" s="7">
        <v>59.35</v>
      </c>
      <c r="D147" s="16">
        <f>(C147-B147)/B147</f>
        <v>3.0381944444444444E-2</v>
      </c>
      <c r="E147" s="9">
        <v>57.12</v>
      </c>
      <c r="F147" s="16">
        <f>(C147-E147)/E147</f>
        <v>3.9040616246498669E-2</v>
      </c>
      <c r="G147" s="40"/>
      <c r="H147" s="16"/>
      <c r="I147" s="16"/>
      <c r="J147" s="9"/>
      <c r="K147" s="9"/>
      <c r="L147" s="16"/>
    </row>
    <row r="148" spans="1:12" ht="12.75" customHeight="1">
      <c r="A148" s="1" t="s">
        <v>3809</v>
      </c>
      <c r="B148" s="7">
        <v>56.51</v>
      </c>
      <c r="C148" s="7">
        <v>58.26</v>
      </c>
      <c r="D148" s="16">
        <f>(C148-B148)/B148</f>
        <v>3.0967970270748543E-2</v>
      </c>
      <c r="E148" s="9">
        <v>57.12</v>
      </c>
      <c r="F148" s="16">
        <f>(C148-E148)/E148</f>
        <v>1.9957983193277323E-2</v>
      </c>
      <c r="G148" s="40"/>
      <c r="H148" s="16"/>
      <c r="I148" s="16"/>
      <c r="J148" s="9"/>
      <c r="K148" s="9"/>
      <c r="L148" s="16"/>
    </row>
    <row r="149" spans="1:12">
      <c r="A149" s="6" t="s">
        <v>3575</v>
      </c>
      <c r="B149" s="7"/>
      <c r="C149" s="7"/>
      <c r="D149" s="24"/>
      <c r="E149" s="9"/>
      <c r="F149" s="16"/>
      <c r="G149" s="40"/>
      <c r="H149" s="16"/>
      <c r="I149" s="16"/>
      <c r="J149" s="9"/>
      <c r="K149" s="9"/>
      <c r="L149" s="16"/>
    </row>
    <row r="150" spans="1:12" ht="12.75" customHeight="1">
      <c r="A150" s="1" t="s">
        <v>3810</v>
      </c>
      <c r="B150" s="7">
        <v>57.6</v>
      </c>
      <c r="C150" s="7">
        <v>59.35</v>
      </c>
      <c r="D150" s="16">
        <f>(C150-B150)/B150</f>
        <v>3.0381944444444444E-2</v>
      </c>
      <c r="E150" s="9">
        <v>57.12</v>
      </c>
      <c r="F150" s="16">
        <f>(C150-E150)/E150</f>
        <v>3.9040616246498669E-2</v>
      </c>
      <c r="G150" s="40"/>
      <c r="H150" s="16"/>
      <c r="I150" s="16"/>
      <c r="J150" s="9"/>
      <c r="K150" s="9"/>
      <c r="L150" s="16"/>
    </row>
    <row r="151" spans="1:12">
      <c r="A151" s="6" t="s">
        <v>3576</v>
      </c>
      <c r="B151" s="7"/>
      <c r="C151" s="7"/>
      <c r="D151" s="24"/>
      <c r="E151" s="9"/>
      <c r="F151" s="16"/>
      <c r="G151" s="40"/>
      <c r="H151" s="16"/>
      <c r="I151" s="16"/>
      <c r="J151" s="9"/>
      <c r="K151" s="9"/>
      <c r="L151" s="16"/>
    </row>
    <row r="152" spans="1:12" ht="12.75" customHeight="1">
      <c r="A152" s="1" t="s">
        <v>3811</v>
      </c>
      <c r="B152" s="7">
        <v>56.51</v>
      </c>
      <c r="C152" s="7">
        <v>58.26</v>
      </c>
      <c r="D152" s="16">
        <f>(C152-B152)/B152</f>
        <v>3.0967970270748543E-2</v>
      </c>
      <c r="E152" s="9">
        <v>57.12</v>
      </c>
      <c r="F152" s="16">
        <f t="shared" ref="F152:F213" si="4">(C152-E152)/E152</f>
        <v>1.9957983193277323E-2</v>
      </c>
      <c r="G152" s="40"/>
      <c r="H152" s="16"/>
      <c r="I152" s="16"/>
      <c r="J152" s="9"/>
      <c r="K152" s="9"/>
      <c r="L152" s="16"/>
    </row>
    <row r="153" spans="1:12" ht="12.75" customHeight="1">
      <c r="A153" s="1" t="s">
        <v>3812</v>
      </c>
      <c r="B153" s="7">
        <v>56.51</v>
      </c>
      <c r="C153" s="7">
        <v>58.26</v>
      </c>
      <c r="D153" s="16">
        <f>(C153-B153)/B153</f>
        <v>3.0967970270748543E-2</v>
      </c>
      <c r="E153" s="9">
        <v>57.12</v>
      </c>
      <c r="F153" s="16">
        <f t="shared" si="4"/>
        <v>1.9957983193277323E-2</v>
      </c>
      <c r="G153" s="40"/>
      <c r="H153" s="16"/>
      <c r="I153" s="16"/>
      <c r="J153" s="9"/>
      <c r="K153" s="9"/>
      <c r="L153" s="16"/>
    </row>
    <row r="154" spans="1:12">
      <c r="A154" s="6" t="s">
        <v>3577</v>
      </c>
      <c r="B154" s="7"/>
      <c r="C154" s="7"/>
      <c r="D154" s="24"/>
      <c r="E154" s="9"/>
      <c r="F154" s="16"/>
      <c r="G154" s="40"/>
      <c r="H154" s="16"/>
      <c r="I154" s="16"/>
      <c r="J154" s="9"/>
      <c r="K154" s="9"/>
      <c r="L154" s="16"/>
    </row>
    <row r="155" spans="1:12" ht="12.75" customHeight="1">
      <c r="A155" s="1" t="s">
        <v>3813</v>
      </c>
      <c r="B155" s="7">
        <v>56.65</v>
      </c>
      <c r="C155" s="7">
        <v>58.4</v>
      </c>
      <c r="D155" s="16">
        <f>(C155-B155)/B155</f>
        <v>3.089143865842895E-2</v>
      </c>
      <c r="E155" s="9">
        <v>57.12</v>
      </c>
      <c r="F155" s="16">
        <f t="shared" si="4"/>
        <v>2.2408963585434195E-2</v>
      </c>
      <c r="G155" s="40"/>
      <c r="H155" s="16"/>
      <c r="I155" s="16"/>
      <c r="J155" s="9"/>
      <c r="K155" s="9"/>
      <c r="L155" s="16"/>
    </row>
    <row r="156" spans="1:12" ht="12.75" customHeight="1">
      <c r="A156" s="1" t="s">
        <v>3814</v>
      </c>
      <c r="B156" s="7">
        <v>56.65</v>
      </c>
      <c r="C156" s="7">
        <v>58.4</v>
      </c>
      <c r="D156" s="16">
        <f>(C156-B156)/B156</f>
        <v>3.089143865842895E-2</v>
      </c>
      <c r="E156" s="9">
        <v>57.12</v>
      </c>
      <c r="F156" s="16">
        <f t="shared" si="4"/>
        <v>2.2408963585434195E-2</v>
      </c>
      <c r="G156" s="40"/>
      <c r="H156" s="16"/>
      <c r="I156" s="16"/>
      <c r="J156" s="9"/>
      <c r="K156" s="9"/>
      <c r="L156" s="16"/>
    </row>
    <row r="157" spans="1:12">
      <c r="A157" s="6" t="s">
        <v>3579</v>
      </c>
      <c r="B157" s="7"/>
      <c r="C157" s="7"/>
      <c r="D157" s="24"/>
      <c r="E157" s="9"/>
      <c r="F157" s="16"/>
      <c r="G157" s="40"/>
      <c r="H157" s="16"/>
      <c r="I157" s="16"/>
      <c r="J157" s="9"/>
      <c r="K157" s="9"/>
      <c r="L157" s="16"/>
    </row>
    <row r="158" spans="1:12" ht="12.75" customHeight="1">
      <c r="A158" s="1" t="s">
        <v>3815</v>
      </c>
      <c r="B158" s="7">
        <v>56.87</v>
      </c>
      <c r="C158" s="7">
        <v>58.62</v>
      </c>
      <c r="D158" s="16">
        <f>(C158-B158)/B158</f>
        <v>3.0771935994373133E-2</v>
      </c>
      <c r="E158" s="9">
        <v>57.12</v>
      </c>
      <c r="F158" s="16">
        <f t="shared" si="4"/>
        <v>2.6260504201680673E-2</v>
      </c>
      <c r="G158" s="40"/>
      <c r="H158" s="16"/>
      <c r="I158" s="16"/>
      <c r="J158" s="9"/>
      <c r="K158" s="9"/>
      <c r="L158" s="16"/>
    </row>
    <row r="159" spans="1:12" ht="12.75" customHeight="1">
      <c r="A159" s="1" t="s">
        <v>3816</v>
      </c>
      <c r="B159" s="7">
        <v>56.87</v>
      </c>
      <c r="C159" s="7">
        <v>58.62</v>
      </c>
      <c r="D159" s="16">
        <f>(C159-B159)/B159</f>
        <v>3.0771935994373133E-2</v>
      </c>
      <c r="E159" s="9">
        <v>57.12</v>
      </c>
      <c r="F159" s="16">
        <f t="shared" si="4"/>
        <v>2.6260504201680673E-2</v>
      </c>
      <c r="G159" s="40"/>
      <c r="H159" s="16"/>
      <c r="I159" s="16"/>
      <c r="J159" s="9"/>
      <c r="K159" s="9"/>
      <c r="L159" s="16"/>
    </row>
    <row r="160" spans="1:12" ht="12.75" customHeight="1">
      <c r="A160" s="1" t="s">
        <v>3817</v>
      </c>
      <c r="B160" s="7">
        <v>56.87</v>
      </c>
      <c r="C160" s="7">
        <v>58.62</v>
      </c>
      <c r="D160" s="16">
        <f>(C160-B160)/B160</f>
        <v>3.0771935994373133E-2</v>
      </c>
      <c r="E160" s="9">
        <v>57.12</v>
      </c>
      <c r="F160" s="16">
        <f t="shared" si="4"/>
        <v>2.6260504201680673E-2</v>
      </c>
      <c r="G160" s="40"/>
      <c r="H160" s="16"/>
      <c r="I160" s="16"/>
      <c r="J160" s="9"/>
      <c r="K160" s="9"/>
      <c r="L160" s="16"/>
    </row>
    <row r="161" spans="1:12">
      <c r="A161" s="6" t="s">
        <v>3580</v>
      </c>
      <c r="B161" s="7"/>
      <c r="C161" s="7"/>
      <c r="D161" s="24"/>
      <c r="E161" s="9"/>
      <c r="F161" s="16"/>
      <c r="G161" s="40"/>
      <c r="H161" s="16"/>
      <c r="I161" s="16"/>
      <c r="J161" s="9"/>
      <c r="K161" s="9"/>
      <c r="L161" s="16"/>
    </row>
    <row r="162" spans="1:12" ht="12.75" customHeight="1">
      <c r="A162" s="1" t="s">
        <v>3818</v>
      </c>
      <c r="B162" s="7">
        <v>56.98</v>
      </c>
      <c r="C162" s="7">
        <v>58.73</v>
      </c>
      <c r="D162" s="16">
        <f t="shared" ref="D162:D172" si="5">(C162-B162)/B162</f>
        <v>3.0712530712530713E-2</v>
      </c>
      <c r="E162" s="9">
        <v>57.12</v>
      </c>
      <c r="F162" s="16">
        <f t="shared" si="4"/>
        <v>2.8186274509803912E-2</v>
      </c>
      <c r="G162" s="40"/>
      <c r="H162" s="16"/>
      <c r="I162" s="16"/>
      <c r="J162" s="9"/>
      <c r="K162" s="9"/>
      <c r="L162" s="16"/>
    </row>
    <row r="163" spans="1:12" ht="12.75" customHeight="1">
      <c r="A163" s="1" t="s">
        <v>3819</v>
      </c>
      <c r="B163" s="7">
        <v>56.98</v>
      </c>
      <c r="C163" s="7">
        <v>58.73</v>
      </c>
      <c r="D163" s="16">
        <f t="shared" si="5"/>
        <v>3.0712530712530713E-2</v>
      </c>
      <c r="E163" s="9">
        <v>57.12</v>
      </c>
      <c r="F163" s="16">
        <f t="shared" si="4"/>
        <v>2.8186274509803912E-2</v>
      </c>
      <c r="G163" s="40"/>
      <c r="H163" s="16"/>
      <c r="I163" s="16"/>
      <c r="J163" s="9"/>
      <c r="K163" s="9"/>
      <c r="L163" s="16"/>
    </row>
    <row r="164" spans="1:12" ht="12.75" customHeight="1">
      <c r="A164" s="1" t="s">
        <v>3820</v>
      </c>
      <c r="B164" s="7">
        <v>56.98</v>
      </c>
      <c r="C164" s="7">
        <v>58.73</v>
      </c>
      <c r="D164" s="16">
        <f t="shared" si="5"/>
        <v>3.0712530712530713E-2</v>
      </c>
      <c r="E164" s="9">
        <v>57.12</v>
      </c>
      <c r="F164" s="16">
        <f t="shared" si="4"/>
        <v>2.8186274509803912E-2</v>
      </c>
      <c r="G164" s="40"/>
      <c r="H164" s="16"/>
      <c r="I164" s="16"/>
      <c r="J164" s="9"/>
      <c r="K164" s="9"/>
      <c r="L164" s="16"/>
    </row>
    <row r="165" spans="1:12" ht="12.75" customHeight="1">
      <c r="A165" s="1" t="s">
        <v>3821</v>
      </c>
      <c r="B165" s="7">
        <v>56.98</v>
      </c>
      <c r="C165" s="7">
        <v>58.73</v>
      </c>
      <c r="D165" s="16">
        <f t="shared" si="5"/>
        <v>3.0712530712530713E-2</v>
      </c>
      <c r="E165" s="9">
        <v>57.12</v>
      </c>
      <c r="F165" s="16">
        <f t="shared" si="4"/>
        <v>2.8186274509803912E-2</v>
      </c>
      <c r="G165" s="40"/>
      <c r="H165" s="16"/>
      <c r="I165" s="16"/>
      <c r="J165" s="9"/>
      <c r="K165" s="9"/>
      <c r="L165" s="16"/>
    </row>
    <row r="166" spans="1:12" ht="12.75" customHeight="1">
      <c r="A166" s="1" t="s">
        <v>3822</v>
      </c>
      <c r="B166" s="7">
        <v>56.98</v>
      </c>
      <c r="C166" s="7">
        <v>58.73</v>
      </c>
      <c r="D166" s="16">
        <f t="shared" si="5"/>
        <v>3.0712530712530713E-2</v>
      </c>
      <c r="E166" s="9">
        <v>57.12</v>
      </c>
      <c r="F166" s="16">
        <f t="shared" si="4"/>
        <v>2.8186274509803912E-2</v>
      </c>
      <c r="G166" s="40"/>
      <c r="H166" s="16"/>
      <c r="I166" s="16"/>
      <c r="J166" s="9"/>
      <c r="K166" s="9"/>
      <c r="L166" s="16"/>
    </row>
    <row r="167" spans="1:12" ht="12.75" customHeight="1">
      <c r="A167" s="1" t="s">
        <v>3823</v>
      </c>
      <c r="B167" s="7">
        <v>56.98</v>
      </c>
      <c r="C167" s="7">
        <v>58.73</v>
      </c>
      <c r="D167" s="16">
        <f t="shared" si="5"/>
        <v>3.0712530712530713E-2</v>
      </c>
      <c r="E167" s="9">
        <v>57.12</v>
      </c>
      <c r="F167" s="16">
        <f t="shared" si="4"/>
        <v>2.8186274509803912E-2</v>
      </c>
      <c r="G167" s="40"/>
      <c r="H167" s="16"/>
      <c r="I167" s="16"/>
      <c r="J167" s="9"/>
      <c r="K167" s="9"/>
      <c r="L167" s="16"/>
    </row>
    <row r="168" spans="1:12" ht="12.75" customHeight="1">
      <c r="A168" s="1" t="s">
        <v>3824</v>
      </c>
      <c r="B168" s="7">
        <v>56.98</v>
      </c>
      <c r="C168" s="7">
        <v>58.73</v>
      </c>
      <c r="D168" s="16">
        <f t="shared" si="5"/>
        <v>3.0712530712530713E-2</v>
      </c>
      <c r="E168" s="9">
        <v>57.12</v>
      </c>
      <c r="F168" s="16">
        <f t="shared" si="4"/>
        <v>2.8186274509803912E-2</v>
      </c>
      <c r="G168" s="40"/>
      <c r="H168" s="16"/>
      <c r="I168" s="16"/>
      <c r="J168" s="9"/>
      <c r="K168" s="9"/>
      <c r="L168" s="16"/>
    </row>
    <row r="169" spans="1:12" ht="12.75" customHeight="1">
      <c r="A169" s="1" t="s">
        <v>3825</v>
      </c>
      <c r="B169" s="7">
        <v>56.98</v>
      </c>
      <c r="C169" s="7">
        <v>58.73</v>
      </c>
      <c r="D169" s="16">
        <f t="shared" si="5"/>
        <v>3.0712530712530713E-2</v>
      </c>
      <c r="E169" s="9">
        <v>57.12</v>
      </c>
      <c r="F169" s="16">
        <f t="shared" si="4"/>
        <v>2.8186274509803912E-2</v>
      </c>
      <c r="G169" s="40"/>
      <c r="H169" s="16"/>
      <c r="I169" s="16"/>
      <c r="J169" s="9"/>
      <c r="K169" s="9"/>
      <c r="L169" s="16"/>
    </row>
    <row r="170" spans="1:12" ht="38.25">
      <c r="A170" s="1" t="s">
        <v>3826</v>
      </c>
      <c r="B170" s="7">
        <v>56.98</v>
      </c>
      <c r="C170" s="7">
        <v>58.73</v>
      </c>
      <c r="D170" s="16">
        <f t="shared" si="5"/>
        <v>3.0712530712530713E-2</v>
      </c>
      <c r="E170" s="9">
        <v>57.12</v>
      </c>
      <c r="F170" s="16">
        <f t="shared" si="4"/>
        <v>2.8186274509803912E-2</v>
      </c>
      <c r="G170" s="40"/>
      <c r="H170" s="16"/>
      <c r="I170" s="16"/>
      <c r="J170" s="9"/>
      <c r="K170" s="9"/>
      <c r="L170" s="16"/>
    </row>
    <row r="171" spans="1:12" ht="12.75" customHeight="1">
      <c r="A171" s="1" t="s">
        <v>3827</v>
      </c>
      <c r="B171" s="7">
        <v>56.98</v>
      </c>
      <c r="C171" s="7">
        <v>58.73</v>
      </c>
      <c r="D171" s="16">
        <f t="shared" si="5"/>
        <v>3.0712530712530713E-2</v>
      </c>
      <c r="E171" s="9">
        <v>57.12</v>
      </c>
      <c r="F171" s="16">
        <f t="shared" si="4"/>
        <v>2.8186274509803912E-2</v>
      </c>
      <c r="G171" s="40"/>
      <c r="H171" s="16"/>
      <c r="I171" s="16"/>
      <c r="J171" s="9"/>
      <c r="K171" s="9"/>
      <c r="L171" s="16"/>
    </row>
    <row r="172" spans="1:12" ht="12.75" customHeight="1">
      <c r="A172" s="1" t="s">
        <v>3828</v>
      </c>
      <c r="B172" s="7">
        <v>56.98</v>
      </c>
      <c r="C172" s="7">
        <v>58.73</v>
      </c>
      <c r="D172" s="16">
        <f t="shared" si="5"/>
        <v>3.0712530712530713E-2</v>
      </c>
      <c r="E172" s="9">
        <v>57.12</v>
      </c>
      <c r="F172" s="16">
        <f t="shared" si="4"/>
        <v>2.8186274509803912E-2</v>
      </c>
      <c r="G172" s="40"/>
      <c r="H172" s="16"/>
      <c r="I172" s="16"/>
      <c r="J172" s="9"/>
      <c r="K172" s="9"/>
      <c r="L172" s="16"/>
    </row>
    <row r="173" spans="1:12">
      <c r="A173" s="6" t="s">
        <v>3593</v>
      </c>
      <c r="B173" s="7"/>
      <c r="C173" s="7"/>
      <c r="D173" s="24"/>
      <c r="E173" s="9"/>
      <c r="F173" s="16"/>
      <c r="G173" s="40"/>
      <c r="H173" s="16"/>
      <c r="I173" s="16"/>
      <c r="J173" s="9"/>
      <c r="K173" s="9"/>
      <c r="L173" s="16"/>
    </row>
    <row r="174" spans="1:12" ht="12.75" customHeight="1">
      <c r="A174" s="1" t="s">
        <v>3829</v>
      </c>
      <c r="B174" s="7">
        <v>57.1</v>
      </c>
      <c r="C174" s="7">
        <v>58.85</v>
      </c>
      <c r="D174" s="16">
        <f>(C174-B174)/B174</f>
        <v>3.0647985989492119E-2</v>
      </c>
      <c r="E174" s="9">
        <v>57.12</v>
      </c>
      <c r="F174" s="16">
        <f t="shared" si="4"/>
        <v>3.0287114845938445E-2</v>
      </c>
      <c r="G174" s="40"/>
      <c r="H174" s="16"/>
      <c r="I174" s="16"/>
      <c r="J174" s="9"/>
      <c r="K174" s="9"/>
      <c r="L174" s="16"/>
    </row>
    <row r="175" spans="1:12" ht="25.5">
      <c r="A175" s="1" t="s">
        <v>3830</v>
      </c>
      <c r="B175" s="7">
        <v>57.1</v>
      </c>
      <c r="C175" s="7">
        <v>58.85</v>
      </c>
      <c r="D175" s="16">
        <f>(C175-B175)/B175</f>
        <v>3.0647985989492119E-2</v>
      </c>
      <c r="E175" s="9">
        <v>57.12</v>
      </c>
      <c r="F175" s="16">
        <f t="shared" si="4"/>
        <v>3.0287114845938445E-2</v>
      </c>
      <c r="G175" s="40"/>
      <c r="H175" s="16"/>
      <c r="I175" s="16"/>
      <c r="J175" s="9"/>
      <c r="K175" s="9"/>
      <c r="L175" s="16"/>
    </row>
    <row r="176" spans="1:12" ht="12.75" customHeight="1">
      <c r="A176" s="1" t="s">
        <v>3831</v>
      </c>
      <c r="B176" s="7">
        <v>57.1</v>
      </c>
      <c r="C176" s="7">
        <v>58.85</v>
      </c>
      <c r="D176" s="16">
        <f>(C176-B176)/B176</f>
        <v>3.0647985989492119E-2</v>
      </c>
      <c r="E176" s="9">
        <v>57.12</v>
      </c>
      <c r="F176" s="16">
        <f t="shared" si="4"/>
        <v>3.0287114845938445E-2</v>
      </c>
      <c r="G176" s="40"/>
      <c r="H176" s="16"/>
      <c r="I176" s="16"/>
      <c r="J176" s="9"/>
      <c r="K176" s="9"/>
      <c r="L176" s="16"/>
    </row>
    <row r="177" spans="1:12" ht="12.75" customHeight="1">
      <c r="A177" s="1" t="s">
        <v>3832</v>
      </c>
      <c r="B177" s="7">
        <v>57.1</v>
      </c>
      <c r="C177" s="7">
        <v>58.85</v>
      </c>
      <c r="D177" s="16">
        <f>(C177-B177)/B177</f>
        <v>3.0647985989492119E-2</v>
      </c>
      <c r="E177" s="9">
        <v>57.12</v>
      </c>
      <c r="F177" s="16">
        <f t="shared" si="4"/>
        <v>3.0287114845938445E-2</v>
      </c>
      <c r="G177" s="40"/>
      <c r="H177" s="16"/>
      <c r="I177" s="16"/>
      <c r="J177" s="9"/>
      <c r="K177" s="9"/>
      <c r="L177" s="16"/>
    </row>
    <row r="178" spans="1:12">
      <c r="A178" s="6" t="s">
        <v>3594</v>
      </c>
      <c r="B178" s="7"/>
      <c r="C178" s="7"/>
      <c r="D178" s="24"/>
      <c r="E178" s="9"/>
      <c r="F178" s="16"/>
      <c r="G178" s="40"/>
      <c r="H178" s="16"/>
      <c r="I178" s="16"/>
      <c r="J178" s="9"/>
      <c r="K178" s="9"/>
      <c r="L178" s="16"/>
    </row>
    <row r="179" spans="1:12" ht="12.75" customHeight="1">
      <c r="A179" s="1" t="s">
        <v>3833</v>
      </c>
      <c r="B179" s="7">
        <v>59.07</v>
      </c>
      <c r="C179" s="7">
        <v>60.82</v>
      </c>
      <c r="D179" s="16">
        <f>(C179-B179)/B179</f>
        <v>2.9625867614694431E-2</v>
      </c>
      <c r="E179" s="9">
        <v>57.12</v>
      </c>
      <c r="F179" s="16">
        <f t="shared" si="4"/>
        <v>6.4775910364145706E-2</v>
      </c>
      <c r="G179" s="40"/>
      <c r="H179" s="16"/>
      <c r="I179" s="16"/>
      <c r="J179" s="9"/>
      <c r="K179" s="9"/>
      <c r="L179" s="16"/>
    </row>
    <row r="180" spans="1:12" ht="12.75" customHeight="1">
      <c r="A180" s="1" t="s">
        <v>3834</v>
      </c>
      <c r="B180" s="7">
        <v>57.27</v>
      </c>
      <c r="C180" s="7">
        <v>59.02</v>
      </c>
      <c r="D180" s="16">
        <f>(C180-B180)/B180</f>
        <v>3.0557010651300853E-2</v>
      </c>
      <c r="E180" s="9">
        <v>57.12</v>
      </c>
      <c r="F180" s="16">
        <f t="shared" si="4"/>
        <v>3.3263305322128955E-2</v>
      </c>
      <c r="G180" s="40"/>
      <c r="H180" s="16"/>
      <c r="I180" s="16"/>
      <c r="J180" s="9"/>
      <c r="K180" s="9"/>
      <c r="L180" s="16"/>
    </row>
    <row r="181" spans="1:12" ht="25.5">
      <c r="A181" s="1" t="s">
        <v>3835</v>
      </c>
      <c r="B181" s="7">
        <v>57.27</v>
      </c>
      <c r="C181" s="7">
        <v>59.02</v>
      </c>
      <c r="D181" s="16">
        <f>(C181-B181)/B181</f>
        <v>3.0557010651300853E-2</v>
      </c>
      <c r="E181" s="9">
        <v>57.12</v>
      </c>
      <c r="F181" s="16">
        <f t="shared" si="4"/>
        <v>3.3263305322128955E-2</v>
      </c>
      <c r="G181" s="40"/>
      <c r="H181" s="16"/>
      <c r="I181" s="16"/>
      <c r="J181" s="9"/>
      <c r="K181" s="9"/>
      <c r="L181" s="16"/>
    </row>
    <row r="182" spans="1:12" ht="38.25">
      <c r="A182" s="1" t="s">
        <v>3836</v>
      </c>
      <c r="B182" s="7">
        <v>57.27</v>
      </c>
      <c r="C182" s="7">
        <v>59.02</v>
      </c>
      <c r="D182" s="16">
        <f>(C182-B182)/B182</f>
        <v>3.0557010651300853E-2</v>
      </c>
      <c r="E182" s="9">
        <v>57.12</v>
      </c>
      <c r="F182" s="16">
        <f t="shared" si="4"/>
        <v>3.3263305322128955E-2</v>
      </c>
      <c r="G182" s="40"/>
      <c r="H182" s="16"/>
      <c r="I182" s="16"/>
      <c r="J182" s="9"/>
      <c r="K182" s="9"/>
      <c r="L182" s="16"/>
    </row>
    <row r="183" spans="1:12" ht="25.5">
      <c r="A183" s="1" t="s">
        <v>3837</v>
      </c>
      <c r="B183" s="7">
        <v>57.27</v>
      </c>
      <c r="C183" s="7">
        <v>59.02</v>
      </c>
      <c r="D183" s="16">
        <f>(C183-B183)/B183</f>
        <v>3.0557010651300853E-2</v>
      </c>
      <c r="E183" s="9">
        <v>57.12</v>
      </c>
      <c r="F183" s="16">
        <f t="shared" si="4"/>
        <v>3.3263305322128955E-2</v>
      </c>
      <c r="G183" s="40"/>
      <c r="H183" s="16"/>
      <c r="I183" s="16"/>
      <c r="J183" s="9"/>
      <c r="K183" s="9"/>
      <c r="L183" s="16"/>
    </row>
    <row r="184" spans="1:12">
      <c r="A184" s="6" t="s">
        <v>3595</v>
      </c>
      <c r="B184" s="7"/>
      <c r="C184" s="7"/>
      <c r="D184" s="24"/>
      <c r="E184" s="9"/>
      <c r="F184" s="16"/>
      <c r="G184" s="40"/>
      <c r="H184" s="16"/>
      <c r="I184" s="16"/>
      <c r="J184" s="9"/>
      <c r="K184" s="9"/>
      <c r="L184" s="16"/>
    </row>
    <row r="185" spans="1:12" ht="25.5">
      <c r="A185" s="1" t="s">
        <v>3838</v>
      </c>
      <c r="B185" s="7">
        <v>59.07</v>
      </c>
      <c r="C185" s="7">
        <v>60.82</v>
      </c>
      <c r="D185" s="16">
        <f t="shared" ref="D185:D191" si="6">(C185-B185)/B185</f>
        <v>2.9625867614694431E-2</v>
      </c>
      <c r="E185" s="9">
        <v>57.12</v>
      </c>
      <c r="F185" s="16">
        <f t="shared" si="4"/>
        <v>6.4775910364145706E-2</v>
      </c>
      <c r="G185" s="40"/>
      <c r="H185" s="16"/>
      <c r="I185" s="16"/>
      <c r="J185" s="9"/>
      <c r="K185" s="9"/>
      <c r="L185" s="16"/>
    </row>
    <row r="186" spans="1:12" ht="25.5">
      <c r="A186" s="1" t="s">
        <v>3839</v>
      </c>
      <c r="B186" s="7">
        <v>57.44</v>
      </c>
      <c r="C186" s="7">
        <v>59.19</v>
      </c>
      <c r="D186" s="16">
        <f t="shared" si="6"/>
        <v>3.046657381615599E-2</v>
      </c>
      <c r="E186" s="9">
        <v>57.12</v>
      </c>
      <c r="F186" s="16">
        <f t="shared" si="4"/>
        <v>3.6239495798319338E-2</v>
      </c>
      <c r="G186" s="40"/>
      <c r="H186" s="16"/>
      <c r="I186" s="16"/>
      <c r="J186" s="9"/>
      <c r="K186" s="9"/>
      <c r="L186" s="16"/>
    </row>
    <row r="187" spans="1:12" ht="12.75" customHeight="1">
      <c r="A187" s="1" t="s">
        <v>3840</v>
      </c>
      <c r="B187" s="7">
        <v>57.44</v>
      </c>
      <c r="C187" s="7">
        <v>59.19</v>
      </c>
      <c r="D187" s="16">
        <f t="shared" si="6"/>
        <v>3.046657381615599E-2</v>
      </c>
      <c r="E187" s="9">
        <v>57.12</v>
      </c>
      <c r="F187" s="16">
        <f t="shared" si="4"/>
        <v>3.6239495798319338E-2</v>
      </c>
      <c r="G187" s="40"/>
      <c r="H187" s="16"/>
      <c r="I187" s="16"/>
      <c r="J187" s="9"/>
      <c r="K187" s="9"/>
      <c r="L187" s="16"/>
    </row>
    <row r="188" spans="1:12" ht="38.25">
      <c r="A188" s="1" t="s">
        <v>3841</v>
      </c>
      <c r="B188" s="7">
        <v>57.44</v>
      </c>
      <c r="C188" s="7">
        <v>59.19</v>
      </c>
      <c r="D188" s="16">
        <f t="shared" si="6"/>
        <v>3.046657381615599E-2</v>
      </c>
      <c r="E188" s="9">
        <v>57.12</v>
      </c>
      <c r="F188" s="16">
        <f t="shared" si="4"/>
        <v>3.6239495798319338E-2</v>
      </c>
      <c r="G188" s="40"/>
      <c r="H188" s="16"/>
      <c r="I188" s="16"/>
      <c r="J188" s="9"/>
      <c r="K188" s="9"/>
      <c r="L188" s="16"/>
    </row>
    <row r="189" spans="1:12" ht="12.75" customHeight="1">
      <c r="A189" s="1" t="s">
        <v>3842</v>
      </c>
      <c r="B189" s="7">
        <v>57.44</v>
      </c>
      <c r="C189" s="7">
        <v>59.19</v>
      </c>
      <c r="D189" s="16">
        <f t="shared" si="6"/>
        <v>3.046657381615599E-2</v>
      </c>
      <c r="E189" s="9">
        <v>57.12</v>
      </c>
      <c r="F189" s="16">
        <f t="shared" si="4"/>
        <v>3.6239495798319338E-2</v>
      </c>
      <c r="G189" s="40"/>
      <c r="H189" s="16"/>
      <c r="I189" s="16"/>
      <c r="J189" s="9"/>
      <c r="K189" s="9"/>
      <c r="L189" s="16"/>
    </row>
    <row r="190" spans="1:12" ht="12.75" customHeight="1">
      <c r="A190" s="1" t="s">
        <v>3843</v>
      </c>
      <c r="B190" s="7">
        <v>57.44</v>
      </c>
      <c r="C190" s="7">
        <v>59.19</v>
      </c>
      <c r="D190" s="16">
        <f t="shared" si="6"/>
        <v>3.046657381615599E-2</v>
      </c>
      <c r="E190" s="9">
        <v>57.12</v>
      </c>
      <c r="F190" s="16">
        <f t="shared" si="4"/>
        <v>3.6239495798319338E-2</v>
      </c>
      <c r="G190" s="40"/>
      <c r="H190" s="16"/>
      <c r="I190" s="16"/>
      <c r="J190" s="9"/>
      <c r="K190" s="9"/>
      <c r="L190" s="16"/>
    </row>
    <row r="191" spans="1:12" ht="38.25">
      <c r="A191" s="1" t="s">
        <v>3844</v>
      </c>
      <c r="B191" s="7">
        <v>57.44</v>
      </c>
      <c r="C191" s="7">
        <v>59.19</v>
      </c>
      <c r="D191" s="16">
        <f t="shared" si="6"/>
        <v>3.046657381615599E-2</v>
      </c>
      <c r="E191" s="9">
        <v>57.12</v>
      </c>
      <c r="F191" s="16">
        <f t="shared" si="4"/>
        <v>3.6239495798319338E-2</v>
      </c>
      <c r="G191" s="40"/>
      <c r="H191" s="16"/>
      <c r="I191" s="16"/>
      <c r="J191" s="9"/>
      <c r="K191" s="9"/>
      <c r="L191" s="16"/>
    </row>
    <row r="192" spans="1:12">
      <c r="A192" s="6" t="s">
        <v>3596</v>
      </c>
      <c r="B192" s="7"/>
      <c r="C192" s="7"/>
      <c r="D192" s="24"/>
      <c r="E192" s="9"/>
      <c r="F192" s="16"/>
      <c r="G192" s="40"/>
      <c r="H192" s="16"/>
      <c r="I192" s="16"/>
      <c r="J192" s="9"/>
      <c r="K192" s="9"/>
      <c r="L192" s="16"/>
    </row>
    <row r="193" spans="1:12" ht="25.5">
      <c r="A193" s="1" t="s">
        <v>3845</v>
      </c>
      <c r="B193" s="7">
        <v>60.49</v>
      </c>
      <c r="C193" s="7">
        <v>62.24</v>
      </c>
      <c r="D193" s="16">
        <f t="shared" ref="D193:D213" si="7">(C193-B193)/B193</f>
        <v>2.8930401719292443E-2</v>
      </c>
      <c r="E193" s="9">
        <v>57.12</v>
      </c>
      <c r="F193" s="16">
        <f t="shared" si="4"/>
        <v>8.9635854341736779E-2</v>
      </c>
      <c r="G193" s="40"/>
      <c r="H193" s="16"/>
      <c r="I193" s="16"/>
      <c r="J193" s="9"/>
      <c r="K193" s="9"/>
      <c r="L193" s="16"/>
    </row>
    <row r="194" spans="1:12" ht="25.5">
      <c r="A194" s="1" t="s">
        <v>3846</v>
      </c>
      <c r="B194" s="7">
        <v>58.44</v>
      </c>
      <c r="C194" s="7">
        <v>60.19</v>
      </c>
      <c r="D194" s="16">
        <f t="shared" si="7"/>
        <v>2.994524298425736E-2</v>
      </c>
      <c r="E194" s="9">
        <v>57.12</v>
      </c>
      <c r="F194" s="16">
        <f t="shared" si="4"/>
        <v>5.3746498599439786E-2</v>
      </c>
      <c r="G194" s="40"/>
      <c r="H194" s="16"/>
      <c r="I194" s="16"/>
      <c r="J194" s="9"/>
      <c r="K194" s="9"/>
      <c r="L194" s="16"/>
    </row>
    <row r="195" spans="1:12" ht="38.25">
      <c r="A195" s="1" t="s">
        <v>3847</v>
      </c>
      <c r="B195" s="7">
        <v>58.44</v>
      </c>
      <c r="C195" s="7">
        <v>60.19</v>
      </c>
      <c r="D195" s="16">
        <f t="shared" si="7"/>
        <v>2.994524298425736E-2</v>
      </c>
      <c r="E195" s="9">
        <v>57.12</v>
      </c>
      <c r="F195" s="16">
        <f t="shared" si="4"/>
        <v>5.3746498599439786E-2</v>
      </c>
      <c r="G195" s="40"/>
      <c r="H195" s="16"/>
      <c r="I195" s="16"/>
      <c r="J195" s="9"/>
      <c r="K195" s="9"/>
      <c r="L195" s="16"/>
    </row>
    <row r="196" spans="1:12" ht="25.5">
      <c r="A196" s="1" t="s">
        <v>3848</v>
      </c>
      <c r="B196" s="7">
        <v>60.49</v>
      </c>
      <c r="C196" s="7">
        <v>62.24</v>
      </c>
      <c r="D196" s="16">
        <f t="shared" si="7"/>
        <v>2.8930401719292443E-2</v>
      </c>
      <c r="E196" s="9">
        <v>57.12</v>
      </c>
      <c r="F196" s="16">
        <f t="shared" si="4"/>
        <v>8.9635854341736779E-2</v>
      </c>
      <c r="G196" s="40"/>
      <c r="H196" s="16"/>
      <c r="I196" s="16"/>
      <c r="J196" s="9"/>
      <c r="K196" s="9"/>
      <c r="L196" s="16"/>
    </row>
    <row r="197" spans="1:12">
      <c r="A197" s="6" t="s">
        <v>3598</v>
      </c>
      <c r="B197" s="7"/>
      <c r="C197" s="7"/>
      <c r="D197" s="16"/>
      <c r="E197" s="9"/>
      <c r="F197" s="16"/>
      <c r="G197" s="40"/>
      <c r="H197" s="16"/>
      <c r="I197" s="16"/>
      <c r="J197" s="9"/>
      <c r="K197" s="9"/>
      <c r="L197" s="16"/>
    </row>
    <row r="198" spans="1:12" ht="25.5">
      <c r="A198" s="1" t="s">
        <v>3849</v>
      </c>
      <c r="B198" s="7">
        <v>60.99</v>
      </c>
      <c r="C198" s="7">
        <v>62.74</v>
      </c>
      <c r="D198" s="16">
        <f t="shared" si="7"/>
        <v>2.8693228398098049E-2</v>
      </c>
      <c r="E198" s="9">
        <v>57.12</v>
      </c>
      <c r="F198" s="16">
        <f t="shared" si="4"/>
        <v>9.8389355742296999E-2</v>
      </c>
      <c r="G198" s="40"/>
      <c r="H198" s="16"/>
      <c r="I198" s="16"/>
      <c r="J198" s="9"/>
      <c r="K198" s="9"/>
      <c r="L198" s="16"/>
    </row>
    <row r="199" spans="1:12" ht="25.5">
      <c r="A199" s="1" t="s">
        <v>3850</v>
      </c>
      <c r="B199" s="7">
        <v>59.44</v>
      </c>
      <c r="C199" s="7">
        <v>61.19</v>
      </c>
      <c r="D199" s="16">
        <f t="shared" si="7"/>
        <v>2.9441453566621804E-2</v>
      </c>
      <c r="E199" s="9">
        <v>57.12</v>
      </c>
      <c r="F199" s="16">
        <f t="shared" si="4"/>
        <v>7.1253501400560235E-2</v>
      </c>
      <c r="G199" s="40"/>
      <c r="H199" s="16"/>
      <c r="I199" s="16"/>
      <c r="J199" s="9"/>
      <c r="K199" s="9"/>
      <c r="L199" s="16"/>
    </row>
    <row r="200" spans="1:12" ht="38.25">
      <c r="A200" s="1" t="s">
        <v>3851</v>
      </c>
      <c r="B200" s="7">
        <v>59.44</v>
      </c>
      <c r="C200" s="7">
        <v>61.19</v>
      </c>
      <c r="D200" s="16">
        <f t="shared" si="7"/>
        <v>2.9441453566621804E-2</v>
      </c>
      <c r="E200" s="9">
        <v>57.12</v>
      </c>
      <c r="F200" s="16">
        <f t="shared" si="4"/>
        <v>7.1253501400560235E-2</v>
      </c>
      <c r="G200" s="40"/>
      <c r="H200" s="16"/>
      <c r="I200" s="16"/>
      <c r="J200" s="9"/>
      <c r="K200" s="9"/>
      <c r="L200" s="16"/>
    </row>
    <row r="201" spans="1:12" ht="25.5">
      <c r="A201" s="1" t="s">
        <v>3852</v>
      </c>
      <c r="B201" s="7">
        <v>60.99</v>
      </c>
      <c r="C201" s="7">
        <v>62.74</v>
      </c>
      <c r="D201" s="16">
        <f t="shared" si="7"/>
        <v>2.8693228398098049E-2</v>
      </c>
      <c r="E201" s="9">
        <v>57.12</v>
      </c>
      <c r="F201" s="16">
        <f t="shared" si="4"/>
        <v>9.8389355742296999E-2</v>
      </c>
      <c r="G201" s="40"/>
      <c r="H201" s="16"/>
      <c r="I201" s="16"/>
      <c r="J201" s="9"/>
      <c r="K201" s="9"/>
      <c r="L201" s="16"/>
    </row>
    <row r="202" spans="1:12" ht="12.75" customHeight="1">
      <c r="A202" s="1" t="s">
        <v>3853</v>
      </c>
      <c r="B202" s="7">
        <v>61.44</v>
      </c>
      <c r="C202" s="7">
        <v>63.19</v>
      </c>
      <c r="D202" s="16">
        <f t="shared" si="7"/>
        <v>2.8483072916666668E-2</v>
      </c>
      <c r="E202" s="9">
        <v>57.12</v>
      </c>
      <c r="F202" s="16">
        <f t="shared" si="4"/>
        <v>0.10626750700280113</v>
      </c>
      <c r="G202" s="40"/>
      <c r="H202" s="16"/>
      <c r="I202" s="16"/>
      <c r="J202" s="9"/>
      <c r="K202" s="9"/>
      <c r="L202" s="16"/>
    </row>
    <row r="203" spans="1:12">
      <c r="A203" s="6" t="s">
        <v>3790</v>
      </c>
      <c r="B203" s="7"/>
      <c r="C203" s="7"/>
      <c r="D203" s="16"/>
      <c r="E203" s="9"/>
      <c r="F203" s="16"/>
      <c r="G203" s="40"/>
      <c r="H203" s="16"/>
      <c r="I203" s="16"/>
      <c r="J203" s="9"/>
      <c r="K203" s="9"/>
      <c r="L203" s="16"/>
    </row>
    <row r="204" spans="1:12" ht="25.5">
      <c r="A204" s="1" t="s">
        <v>3854</v>
      </c>
      <c r="B204" s="7">
        <v>63.63</v>
      </c>
      <c r="C204" s="7">
        <v>65.38</v>
      </c>
      <c r="D204" s="16">
        <f t="shared" si="7"/>
        <v>2.7502750275027389E-2</v>
      </c>
      <c r="E204" s="9">
        <v>57.12</v>
      </c>
      <c r="F204" s="16">
        <f t="shared" si="4"/>
        <v>0.14460784313725486</v>
      </c>
      <c r="G204" s="40"/>
      <c r="H204" s="16"/>
      <c r="I204" s="16"/>
      <c r="J204" s="9"/>
      <c r="K204" s="9"/>
      <c r="L204" s="16"/>
    </row>
    <row r="205" spans="1:12" ht="25.5">
      <c r="A205" s="1" t="s">
        <v>3855</v>
      </c>
      <c r="B205" s="7">
        <v>60.44</v>
      </c>
      <c r="C205" s="7">
        <v>62.19</v>
      </c>
      <c r="D205" s="16">
        <f t="shared" si="7"/>
        <v>2.8954334877564526E-2</v>
      </c>
      <c r="E205" s="9">
        <v>57.12</v>
      </c>
      <c r="F205" s="16">
        <f t="shared" si="4"/>
        <v>8.8760504201680676E-2</v>
      </c>
      <c r="G205" s="40"/>
      <c r="H205" s="16"/>
      <c r="I205" s="16"/>
      <c r="J205" s="9"/>
      <c r="K205" s="9"/>
      <c r="L205" s="16"/>
    </row>
    <row r="206" spans="1:12" ht="38.25">
      <c r="A206" s="1" t="s">
        <v>3856</v>
      </c>
      <c r="B206" s="7">
        <v>60.44</v>
      </c>
      <c r="C206" s="7">
        <v>62.19</v>
      </c>
      <c r="D206" s="16">
        <f t="shared" si="7"/>
        <v>2.8954334877564526E-2</v>
      </c>
      <c r="E206" s="9">
        <v>57.12</v>
      </c>
      <c r="F206" s="16">
        <f t="shared" si="4"/>
        <v>8.8760504201680676E-2</v>
      </c>
      <c r="G206" s="40"/>
      <c r="H206" s="16"/>
      <c r="I206" s="16"/>
      <c r="J206" s="9"/>
      <c r="K206" s="9"/>
      <c r="L206" s="16"/>
    </row>
    <row r="207" spans="1:12" ht="25.5">
      <c r="A207" s="1" t="s">
        <v>3857</v>
      </c>
      <c r="B207" s="7">
        <v>63.63</v>
      </c>
      <c r="C207" s="7">
        <v>65.38</v>
      </c>
      <c r="D207" s="16">
        <f t="shared" si="7"/>
        <v>2.7502750275027389E-2</v>
      </c>
      <c r="E207" s="9">
        <v>57.12</v>
      </c>
      <c r="F207" s="16">
        <f t="shared" si="4"/>
        <v>0.14460784313725486</v>
      </c>
      <c r="G207" s="40"/>
      <c r="H207" s="16"/>
      <c r="I207" s="16"/>
      <c r="J207" s="9"/>
      <c r="K207" s="9"/>
      <c r="L207" s="16"/>
    </row>
    <row r="208" spans="1:12">
      <c r="A208" s="6" t="s">
        <v>3791</v>
      </c>
      <c r="B208" s="7"/>
      <c r="C208" s="7"/>
      <c r="D208" s="16"/>
      <c r="E208" s="9"/>
      <c r="F208" s="16"/>
      <c r="G208" s="40"/>
      <c r="H208" s="16"/>
      <c r="I208" s="16"/>
      <c r="J208" s="9"/>
      <c r="K208" s="9"/>
      <c r="L208" s="16"/>
    </row>
    <row r="209" spans="1:12" ht="12.75" customHeight="1">
      <c r="A209" s="1" t="s">
        <v>3858</v>
      </c>
      <c r="B209" s="7">
        <v>65</v>
      </c>
      <c r="C209" s="7">
        <v>66.75</v>
      </c>
      <c r="D209" s="16">
        <f t="shared" si="7"/>
        <v>2.6923076923076925E-2</v>
      </c>
      <c r="E209" s="9">
        <v>57.12</v>
      </c>
      <c r="F209" s="16">
        <f t="shared" si="4"/>
        <v>0.16859243697478996</v>
      </c>
      <c r="G209" s="40"/>
      <c r="H209" s="16"/>
      <c r="I209" s="16"/>
      <c r="J209" s="9"/>
      <c r="K209" s="9"/>
      <c r="L209" s="16"/>
    </row>
    <row r="210" spans="1:12" ht="12.75" customHeight="1">
      <c r="A210" s="1" t="s">
        <v>3859</v>
      </c>
      <c r="B210" s="7">
        <v>61.44</v>
      </c>
      <c r="C210" s="7">
        <v>63.19</v>
      </c>
      <c r="D210" s="16">
        <f t="shared" si="7"/>
        <v>2.8483072916666668E-2</v>
      </c>
      <c r="E210" s="9">
        <v>57.12</v>
      </c>
      <c r="F210" s="16">
        <f t="shared" si="4"/>
        <v>0.10626750700280113</v>
      </c>
      <c r="G210" s="40"/>
      <c r="H210" s="16"/>
      <c r="I210" s="16"/>
      <c r="J210" s="9"/>
      <c r="K210" s="9"/>
      <c r="L210" s="16"/>
    </row>
    <row r="211" spans="1:12" ht="12.75" customHeight="1">
      <c r="A211" s="1" t="s">
        <v>3860</v>
      </c>
      <c r="B211" s="7">
        <v>61.44</v>
      </c>
      <c r="C211" s="7">
        <v>63.19</v>
      </c>
      <c r="D211" s="16">
        <f t="shared" si="7"/>
        <v>2.8483072916666668E-2</v>
      </c>
      <c r="E211" s="9">
        <v>57.12</v>
      </c>
      <c r="F211" s="16">
        <f t="shared" si="4"/>
        <v>0.10626750700280113</v>
      </c>
      <c r="G211" s="40"/>
      <c r="H211" s="16"/>
      <c r="I211" s="16"/>
      <c r="J211" s="9"/>
      <c r="K211" s="9"/>
      <c r="L211" s="16"/>
    </row>
    <row r="212" spans="1:12" ht="25.5">
      <c r="A212" s="1" t="s">
        <v>3861</v>
      </c>
      <c r="B212" s="7">
        <v>61.44</v>
      </c>
      <c r="C212" s="7">
        <v>63.19</v>
      </c>
      <c r="D212" s="16">
        <f t="shared" si="7"/>
        <v>2.8483072916666668E-2</v>
      </c>
      <c r="E212" s="9">
        <v>57.12</v>
      </c>
      <c r="F212" s="16">
        <f t="shared" si="4"/>
        <v>0.10626750700280113</v>
      </c>
      <c r="G212" s="40"/>
      <c r="H212" s="16"/>
      <c r="I212" s="16"/>
      <c r="J212" s="9"/>
      <c r="K212" s="9"/>
      <c r="L212" s="16"/>
    </row>
    <row r="213" spans="1:12" ht="12.75" customHeight="1">
      <c r="A213" s="1" t="s">
        <v>3862</v>
      </c>
      <c r="B213" s="7">
        <v>65</v>
      </c>
      <c r="C213" s="7">
        <v>66.75</v>
      </c>
      <c r="D213" s="16">
        <f t="shared" si="7"/>
        <v>2.6923076923076925E-2</v>
      </c>
      <c r="E213" s="9">
        <v>57.12</v>
      </c>
      <c r="F213" s="16">
        <f t="shared" si="4"/>
        <v>0.16859243697478996</v>
      </c>
      <c r="G213" s="40"/>
      <c r="H213" s="16"/>
      <c r="I213" s="16"/>
      <c r="J213" s="9"/>
      <c r="K213" s="9"/>
      <c r="L213" s="16"/>
    </row>
    <row r="214" spans="1:12" ht="12.75" customHeight="1">
      <c r="A214" s="1" t="s">
        <v>3863</v>
      </c>
      <c r="B214" s="11" t="s">
        <v>3534</v>
      </c>
      <c r="C214" s="11" t="s">
        <v>3534</v>
      </c>
      <c r="D214" s="25"/>
      <c r="E214" s="9"/>
      <c r="F214" s="16"/>
      <c r="G214" s="40"/>
      <c r="H214" s="16"/>
      <c r="I214" s="16"/>
      <c r="J214" s="9"/>
      <c r="K214" s="9"/>
      <c r="L214" s="16"/>
    </row>
    <row r="215" spans="1:12" ht="12.75" customHeight="1">
      <c r="A215" s="1" t="s">
        <v>3805</v>
      </c>
      <c r="B215" s="11" t="s">
        <v>3534</v>
      </c>
      <c r="C215" s="11" t="s">
        <v>3534</v>
      </c>
      <c r="D215" s="25"/>
      <c r="E215" s="9"/>
      <c r="F215" s="16"/>
      <c r="G215" s="40"/>
      <c r="H215" s="16"/>
      <c r="I215" s="16"/>
      <c r="J215" s="9"/>
      <c r="K215" s="9"/>
      <c r="L215" s="16"/>
    </row>
    <row r="216" spans="1:12">
      <c r="A216" s="1"/>
      <c r="B216" s="7"/>
      <c r="C216" s="7"/>
      <c r="D216" s="24"/>
      <c r="E216" s="9"/>
      <c r="F216" s="16"/>
      <c r="G216" s="40"/>
      <c r="H216" s="16"/>
      <c r="I216" s="16"/>
      <c r="J216" s="9"/>
      <c r="K216" s="9"/>
      <c r="L216" s="16"/>
    </row>
    <row r="217" spans="1:12" ht="12.75" customHeight="1">
      <c r="A217" s="2" t="s">
        <v>3864</v>
      </c>
      <c r="B217" s="10"/>
      <c r="C217" s="10"/>
      <c r="D217" s="27"/>
      <c r="E217" s="9"/>
      <c r="F217" s="16"/>
      <c r="G217" s="40"/>
      <c r="H217" s="16"/>
      <c r="I217" s="16"/>
      <c r="J217" s="9"/>
      <c r="K217" s="9"/>
      <c r="L217" s="16"/>
    </row>
    <row r="218" spans="1:12">
      <c r="A218" s="1"/>
      <c r="D218" s="16"/>
      <c r="E218" s="9"/>
      <c r="F218" s="16"/>
      <c r="G218" s="40"/>
      <c r="H218" s="16"/>
      <c r="I218" s="16"/>
      <c r="J218" s="9"/>
      <c r="K218" s="9"/>
      <c r="L218" s="16"/>
    </row>
    <row r="219" spans="1:12" ht="12.75" customHeight="1">
      <c r="A219" s="3" t="s">
        <v>3569</v>
      </c>
      <c r="B219" s="12" t="s">
        <v>3510</v>
      </c>
      <c r="C219" s="12" t="s">
        <v>3510</v>
      </c>
      <c r="D219" s="26"/>
      <c r="E219" s="9"/>
      <c r="F219" s="16"/>
      <c r="G219" s="40"/>
      <c r="H219" s="16"/>
      <c r="I219" s="16"/>
      <c r="J219" s="9"/>
      <c r="K219" s="9"/>
      <c r="L219" s="16"/>
    </row>
    <row r="220" spans="1:12" ht="12.75" customHeight="1">
      <c r="A220" s="1" t="s">
        <v>3573</v>
      </c>
      <c r="B220" s="7">
        <v>55.84</v>
      </c>
      <c r="C220" s="7">
        <v>57.59</v>
      </c>
      <c r="D220" s="16">
        <f t="shared" ref="D220:D229" si="8">(C220-B220)/B220</f>
        <v>3.1339541547277937E-2</v>
      </c>
      <c r="E220" s="9">
        <v>57.12</v>
      </c>
      <c r="F220" s="16">
        <f t="shared" ref="F220:F229" si="9">(C220-E220)/E220</f>
        <v>8.228291316526715E-3</v>
      </c>
      <c r="G220" s="40"/>
      <c r="H220" s="16"/>
      <c r="I220" s="16"/>
      <c r="J220" s="9"/>
      <c r="K220" s="9"/>
      <c r="L220" s="16"/>
    </row>
    <row r="221" spans="1:12" ht="12.75" customHeight="1">
      <c r="A221" s="1" t="s">
        <v>3575</v>
      </c>
      <c r="B221" s="7">
        <v>56.65</v>
      </c>
      <c r="C221" s="7">
        <v>58.4</v>
      </c>
      <c r="D221" s="16">
        <f t="shared" si="8"/>
        <v>3.089143865842895E-2</v>
      </c>
      <c r="E221" s="9">
        <v>57.12</v>
      </c>
      <c r="F221" s="16">
        <f t="shared" si="9"/>
        <v>2.2408963585434195E-2</v>
      </c>
      <c r="G221" s="40"/>
      <c r="H221" s="16"/>
      <c r="I221" s="16"/>
      <c r="J221" s="9"/>
      <c r="K221" s="9"/>
      <c r="L221" s="16"/>
    </row>
    <row r="222" spans="1:12" ht="12.75" customHeight="1">
      <c r="A222" s="1" t="s">
        <v>3576</v>
      </c>
      <c r="B222" s="7">
        <v>56.87</v>
      </c>
      <c r="C222" s="7">
        <v>58.62</v>
      </c>
      <c r="D222" s="16">
        <f t="shared" si="8"/>
        <v>3.0771935994373133E-2</v>
      </c>
      <c r="E222" s="9">
        <v>57.12</v>
      </c>
      <c r="F222" s="16">
        <f t="shared" si="9"/>
        <v>2.6260504201680673E-2</v>
      </c>
      <c r="G222" s="40"/>
      <c r="H222" s="16"/>
      <c r="I222" s="16"/>
      <c r="J222" s="9"/>
      <c r="K222" s="9"/>
      <c r="L222" s="16"/>
    </row>
    <row r="223" spans="1:12" ht="12.75" customHeight="1">
      <c r="A223" s="1" t="s">
        <v>3577</v>
      </c>
      <c r="B223" s="7">
        <v>57.15</v>
      </c>
      <c r="C223" s="7">
        <v>58.9</v>
      </c>
      <c r="D223" s="16">
        <f t="shared" si="8"/>
        <v>3.0621172353455819E-2</v>
      </c>
      <c r="E223" s="9">
        <v>57.12</v>
      </c>
      <c r="F223" s="16">
        <f t="shared" si="9"/>
        <v>3.1162464985994419E-2</v>
      </c>
      <c r="G223" s="40"/>
      <c r="H223" s="16"/>
      <c r="I223" s="16"/>
      <c r="J223" s="9"/>
      <c r="K223" s="9"/>
      <c r="L223" s="16"/>
    </row>
    <row r="224" spans="1:12" ht="12.75" customHeight="1">
      <c r="A224" s="1" t="s">
        <v>3579</v>
      </c>
      <c r="B224" s="7">
        <v>57.27</v>
      </c>
      <c r="C224" s="7">
        <v>59.02</v>
      </c>
      <c r="D224" s="16">
        <f t="shared" si="8"/>
        <v>3.0557010651300853E-2</v>
      </c>
      <c r="E224" s="9">
        <v>57.12</v>
      </c>
      <c r="F224" s="16">
        <f t="shared" si="9"/>
        <v>3.3263305322128955E-2</v>
      </c>
      <c r="G224" s="40"/>
      <c r="H224" s="16"/>
      <c r="I224" s="16"/>
      <c r="J224" s="9"/>
      <c r="K224" s="9"/>
      <c r="L224" s="16"/>
    </row>
    <row r="225" spans="1:12" ht="12.75" customHeight="1">
      <c r="A225" s="1" t="s">
        <v>3580</v>
      </c>
      <c r="B225" s="7">
        <v>57.37</v>
      </c>
      <c r="C225" s="7">
        <v>59.12</v>
      </c>
      <c r="D225" s="16">
        <f t="shared" si="8"/>
        <v>3.0503747603276975E-2</v>
      </c>
      <c r="E225" s="9">
        <v>57.12</v>
      </c>
      <c r="F225" s="16">
        <f t="shared" si="9"/>
        <v>3.5014005602240897E-2</v>
      </c>
      <c r="G225" s="40"/>
      <c r="H225" s="16"/>
      <c r="I225" s="16"/>
      <c r="J225" s="9"/>
      <c r="K225" s="9"/>
      <c r="L225" s="16"/>
    </row>
    <row r="226" spans="1:12" ht="12.75" customHeight="1">
      <c r="A226" s="1" t="s">
        <v>3593</v>
      </c>
      <c r="B226" s="7">
        <v>57.4</v>
      </c>
      <c r="C226" s="7">
        <v>59.15</v>
      </c>
      <c r="D226" s="16">
        <f t="shared" si="8"/>
        <v>3.048780487804878E-2</v>
      </c>
      <c r="E226" s="9">
        <v>57.12</v>
      </c>
      <c r="F226" s="16">
        <f t="shared" si="9"/>
        <v>3.5539215686274529E-2</v>
      </c>
      <c r="G226" s="40"/>
      <c r="H226" s="16"/>
      <c r="I226" s="16"/>
      <c r="J226" s="9"/>
      <c r="K226" s="9"/>
      <c r="L226" s="16"/>
    </row>
    <row r="227" spans="1:12" ht="12.75" customHeight="1">
      <c r="A227" s="1" t="s">
        <v>3594</v>
      </c>
      <c r="B227" s="7">
        <v>57.77</v>
      </c>
      <c r="C227" s="7">
        <v>59.52</v>
      </c>
      <c r="D227" s="16">
        <f t="shared" si="8"/>
        <v>3.0292539380301194E-2</v>
      </c>
      <c r="E227" s="9">
        <v>57.12</v>
      </c>
      <c r="F227" s="16">
        <f t="shared" si="9"/>
        <v>4.2016806722689176E-2</v>
      </c>
      <c r="G227" s="40"/>
      <c r="H227" s="16"/>
      <c r="I227" s="16"/>
      <c r="J227" s="9"/>
      <c r="K227" s="9"/>
      <c r="L227" s="16"/>
    </row>
    <row r="228" spans="1:12" ht="12.75" customHeight="1">
      <c r="A228" s="1" t="s">
        <v>3595</v>
      </c>
      <c r="B228" s="7">
        <v>57.9</v>
      </c>
      <c r="C228" s="7">
        <v>59.65</v>
      </c>
      <c r="D228" s="16">
        <f t="shared" si="8"/>
        <v>3.0224525043177894E-2</v>
      </c>
      <c r="E228" s="9">
        <v>57.12</v>
      </c>
      <c r="F228" s="16">
        <f t="shared" si="9"/>
        <v>4.4292717086834757E-2</v>
      </c>
      <c r="G228" s="40"/>
      <c r="H228" s="16"/>
      <c r="I228" s="16"/>
      <c r="J228" s="9"/>
      <c r="K228" s="9"/>
      <c r="L228" s="16"/>
    </row>
    <row r="229" spans="1:12" ht="12.75" customHeight="1">
      <c r="A229" s="1" t="s">
        <v>3596</v>
      </c>
      <c r="B229" s="7">
        <v>58.4</v>
      </c>
      <c r="C229" s="7">
        <v>60.15</v>
      </c>
      <c r="D229" s="16">
        <f t="shared" si="8"/>
        <v>2.9965753424657536E-2</v>
      </c>
      <c r="E229" s="9">
        <v>57.12</v>
      </c>
      <c r="F229" s="16">
        <f t="shared" si="9"/>
        <v>5.3046218487394978E-2</v>
      </c>
      <c r="G229" s="40"/>
      <c r="H229" s="16"/>
      <c r="I229" s="16"/>
      <c r="J229" s="9"/>
      <c r="K229" s="9"/>
      <c r="L229" s="16"/>
    </row>
    <row r="230" spans="1:12">
      <c r="A230" s="1"/>
      <c r="B230" s="7"/>
      <c r="C230" s="7"/>
      <c r="D230" s="24"/>
      <c r="E230" s="9"/>
      <c r="F230" s="16"/>
      <c r="G230" s="40"/>
      <c r="H230" s="16"/>
      <c r="I230" s="16"/>
      <c r="J230" s="9"/>
      <c r="K230" s="9"/>
      <c r="L230" s="16"/>
    </row>
    <row r="231" spans="1:12">
      <c r="A231" s="1"/>
      <c r="B231" s="7"/>
      <c r="C231" s="7"/>
      <c r="D231" s="24"/>
      <c r="E231" s="9"/>
      <c r="F231" s="16"/>
      <c r="G231" s="40"/>
      <c r="H231" s="16"/>
      <c r="I231" s="16"/>
      <c r="J231" s="9"/>
      <c r="K231" s="9"/>
      <c r="L231" s="16"/>
    </row>
    <row r="232" spans="1:12" ht="12.75" customHeight="1">
      <c r="A232" s="2" t="s">
        <v>3865</v>
      </c>
      <c r="B232" s="10"/>
      <c r="C232" s="10"/>
      <c r="D232" s="27"/>
      <c r="E232" s="9"/>
      <c r="F232" s="16"/>
      <c r="G232" s="40"/>
      <c r="H232" s="16"/>
      <c r="I232" s="16"/>
      <c r="J232" s="9"/>
      <c r="K232" s="9"/>
      <c r="L232" s="16"/>
    </row>
    <row r="233" spans="1:12" ht="12.75" customHeight="1">
      <c r="A233" s="3" t="s">
        <v>3569</v>
      </c>
      <c r="B233" s="12" t="s">
        <v>3510</v>
      </c>
      <c r="C233" s="12" t="s">
        <v>3510</v>
      </c>
      <c r="D233" s="26"/>
      <c r="E233" s="9"/>
      <c r="F233" s="16"/>
      <c r="G233" s="40"/>
      <c r="H233" s="16"/>
      <c r="I233" s="16"/>
      <c r="J233" s="9"/>
      <c r="K233" s="9"/>
      <c r="L233" s="16"/>
    </row>
    <row r="234" spans="1:12" ht="12.75" customHeight="1">
      <c r="A234" s="1" t="s">
        <v>3573</v>
      </c>
      <c r="B234" s="7">
        <v>55.77</v>
      </c>
      <c r="C234" s="7">
        <v>57.52</v>
      </c>
      <c r="D234" s="16">
        <f t="shared" ref="D234:D242" si="10">(C234-B234)/B234</f>
        <v>3.1378877532723684E-2</v>
      </c>
      <c r="E234" s="9">
        <v>57.12</v>
      </c>
      <c r="F234" s="16">
        <f t="shared" ref="F234:F242" si="11">(C234-E234)/E234</f>
        <v>7.0028011204482793E-3</v>
      </c>
      <c r="G234" s="40"/>
      <c r="H234" s="16"/>
      <c r="I234" s="16"/>
      <c r="J234" s="9"/>
      <c r="K234" s="9"/>
      <c r="L234" s="16"/>
    </row>
    <row r="235" spans="1:12" ht="12.75" customHeight="1">
      <c r="A235" s="1" t="s">
        <v>3575</v>
      </c>
      <c r="B235" s="7">
        <v>56.72</v>
      </c>
      <c r="C235" s="7">
        <v>58.47</v>
      </c>
      <c r="D235" s="16">
        <f t="shared" si="10"/>
        <v>3.0853314527503527E-2</v>
      </c>
      <c r="E235" s="9">
        <v>57.12</v>
      </c>
      <c r="F235" s="16">
        <f t="shared" si="11"/>
        <v>2.3634453781512632E-2</v>
      </c>
      <c r="G235" s="40"/>
      <c r="H235" s="16"/>
      <c r="I235" s="16"/>
      <c r="J235" s="9"/>
      <c r="K235" s="9"/>
      <c r="L235" s="16"/>
    </row>
    <row r="236" spans="1:12" ht="12.75" customHeight="1">
      <c r="A236" s="1" t="s">
        <v>3576</v>
      </c>
      <c r="B236" s="7">
        <v>57.01</v>
      </c>
      <c r="C236" s="7">
        <v>58.76</v>
      </c>
      <c r="D236" s="16">
        <f t="shared" si="10"/>
        <v>3.0696369058059992E-2</v>
      </c>
      <c r="E236" s="9">
        <v>57.12</v>
      </c>
      <c r="F236" s="16">
        <f t="shared" si="11"/>
        <v>2.8711484593837548E-2</v>
      </c>
      <c r="G236" s="40"/>
      <c r="H236" s="16"/>
      <c r="I236" s="16"/>
      <c r="J236" s="9"/>
      <c r="K236" s="9"/>
      <c r="L236" s="16"/>
    </row>
    <row r="237" spans="1:12" ht="12.75" customHeight="1">
      <c r="A237" s="1" t="s">
        <v>3577</v>
      </c>
      <c r="B237" s="7">
        <v>57.15</v>
      </c>
      <c r="C237" s="7">
        <v>58.9</v>
      </c>
      <c r="D237" s="16">
        <f t="shared" si="10"/>
        <v>3.0621172353455819E-2</v>
      </c>
      <c r="E237" s="9">
        <v>57.12</v>
      </c>
      <c r="F237" s="16">
        <f t="shared" si="11"/>
        <v>3.1162464985994419E-2</v>
      </c>
      <c r="G237" s="40"/>
      <c r="H237" s="16"/>
      <c r="I237" s="16"/>
      <c r="J237" s="9"/>
      <c r="K237" s="9"/>
      <c r="L237" s="16"/>
    </row>
    <row r="238" spans="1:12" ht="12.75" customHeight="1">
      <c r="A238" s="1" t="s">
        <v>3579</v>
      </c>
      <c r="B238" s="7">
        <v>57.37</v>
      </c>
      <c r="C238" s="7">
        <v>59.12</v>
      </c>
      <c r="D238" s="16">
        <f t="shared" si="10"/>
        <v>3.0503747603276975E-2</v>
      </c>
      <c r="E238" s="9">
        <v>57.12</v>
      </c>
      <c r="F238" s="16">
        <f t="shared" si="11"/>
        <v>3.5014005602240897E-2</v>
      </c>
      <c r="G238" s="40"/>
      <c r="H238" s="16"/>
      <c r="I238" s="16"/>
      <c r="J238" s="9"/>
      <c r="K238" s="9"/>
      <c r="L238" s="16"/>
    </row>
    <row r="239" spans="1:12" ht="12.75" customHeight="1">
      <c r="A239" s="1" t="s">
        <v>3580</v>
      </c>
      <c r="B239" s="7">
        <v>57.48</v>
      </c>
      <c r="C239" s="7">
        <v>59.23</v>
      </c>
      <c r="D239" s="16">
        <f t="shared" si="10"/>
        <v>3.0445372303409882E-2</v>
      </c>
      <c r="E239" s="9">
        <v>57.12</v>
      </c>
      <c r="F239" s="16">
        <f t="shared" si="11"/>
        <v>3.6939775910364139E-2</v>
      </c>
      <c r="G239" s="40"/>
      <c r="H239" s="16"/>
      <c r="I239" s="16"/>
      <c r="J239" s="9"/>
      <c r="K239" s="9"/>
      <c r="L239" s="16"/>
    </row>
    <row r="240" spans="1:12" ht="12.75" customHeight="1">
      <c r="A240" s="1" t="s">
        <v>3593</v>
      </c>
      <c r="B240" s="7">
        <v>57.6</v>
      </c>
      <c r="C240" s="7">
        <v>59.35</v>
      </c>
      <c r="D240" s="16">
        <f t="shared" si="10"/>
        <v>3.0381944444444444E-2</v>
      </c>
      <c r="E240" s="9">
        <v>57.12</v>
      </c>
      <c r="F240" s="16">
        <f t="shared" si="11"/>
        <v>3.9040616246498669E-2</v>
      </c>
      <c r="G240" s="40"/>
      <c r="H240" s="16"/>
      <c r="I240" s="16"/>
      <c r="J240" s="9"/>
      <c r="K240" s="9"/>
      <c r="L240" s="16"/>
    </row>
    <row r="241" spans="1:12" ht="12.75" customHeight="1">
      <c r="A241" s="1" t="s">
        <v>3594</v>
      </c>
      <c r="B241" s="7">
        <v>57.77</v>
      </c>
      <c r="C241" s="7">
        <v>59.52</v>
      </c>
      <c r="D241" s="16">
        <f t="shared" si="10"/>
        <v>3.0292539380301194E-2</v>
      </c>
      <c r="E241" s="9">
        <v>57.12</v>
      </c>
      <c r="F241" s="16">
        <f t="shared" si="11"/>
        <v>4.2016806722689176E-2</v>
      </c>
      <c r="G241" s="40"/>
      <c r="H241" s="16"/>
      <c r="I241" s="16"/>
      <c r="J241" s="9"/>
      <c r="K241" s="9"/>
      <c r="L241" s="16"/>
    </row>
    <row r="242" spans="1:12" ht="12.75" customHeight="1">
      <c r="A242" s="1" t="s">
        <v>3595</v>
      </c>
      <c r="B242" s="7">
        <v>57.9</v>
      </c>
      <c r="C242" s="7">
        <v>59.65</v>
      </c>
      <c r="D242" s="16">
        <f t="shared" si="10"/>
        <v>3.0224525043177894E-2</v>
      </c>
      <c r="E242" s="9">
        <v>57.12</v>
      </c>
      <c r="F242" s="16">
        <f t="shared" si="11"/>
        <v>4.4292717086834757E-2</v>
      </c>
      <c r="G242" s="40"/>
      <c r="H242" s="16"/>
      <c r="I242" s="16"/>
      <c r="J242" s="9"/>
      <c r="K242" s="9"/>
      <c r="L242" s="16"/>
    </row>
    <row r="243" spans="1:12">
      <c r="A243" s="1"/>
      <c r="B243" s="7"/>
      <c r="C243" s="7"/>
      <c r="D243" s="24"/>
      <c r="E243" s="9"/>
      <c r="F243" s="16"/>
      <c r="G243" s="40"/>
      <c r="H243" s="16"/>
      <c r="I243" s="16"/>
      <c r="J243" s="9"/>
      <c r="K243" s="9"/>
      <c r="L243" s="16"/>
    </row>
    <row r="244" spans="1:12" ht="38.25">
      <c r="A244" s="2" t="s">
        <v>3866</v>
      </c>
      <c r="B244" s="7"/>
      <c r="C244" s="31" t="s">
        <v>3998</v>
      </c>
      <c r="D244" s="52"/>
      <c r="E244" s="44"/>
      <c r="F244" s="43"/>
      <c r="G244" s="23" t="s">
        <v>3983</v>
      </c>
      <c r="H244" s="43">
        <f>AVERAGE(F245:F246)</f>
        <v>0.43069159988127048</v>
      </c>
      <c r="I244" s="43"/>
      <c r="J244" s="44"/>
      <c r="K244" s="44"/>
      <c r="L244" s="43"/>
    </row>
    <row r="245" spans="1:12" ht="12.75" customHeight="1">
      <c r="A245" s="1" t="s">
        <v>3867</v>
      </c>
      <c r="B245" s="7">
        <v>46.23</v>
      </c>
      <c r="C245" s="7">
        <v>46.64</v>
      </c>
      <c r="D245" s="16">
        <f>(C245-B245)/B245</f>
        <v>8.8686999783691052E-3</v>
      </c>
      <c r="E245" s="9">
        <v>33.69</v>
      </c>
      <c r="F245" s="16">
        <f>(C245-E245)/E245</f>
        <v>0.38438705847432486</v>
      </c>
      <c r="G245" s="40"/>
      <c r="H245" s="16"/>
      <c r="I245" s="16"/>
      <c r="J245" s="9"/>
      <c r="K245" s="9"/>
      <c r="L245" s="16"/>
    </row>
    <row r="246" spans="1:12" ht="12.75" customHeight="1">
      <c r="A246" s="1" t="s">
        <v>3868</v>
      </c>
      <c r="B246" s="7">
        <v>49.35</v>
      </c>
      <c r="C246" s="7">
        <v>49.76</v>
      </c>
      <c r="D246" s="16">
        <f>(C246-B246)/B246</f>
        <v>8.3080040526848347E-3</v>
      </c>
      <c r="E246" s="9">
        <v>33.69</v>
      </c>
      <c r="F246" s="16">
        <f>(C246-E246)/E246</f>
        <v>0.4769961412882161</v>
      </c>
      <c r="G246" s="40"/>
      <c r="H246" s="16"/>
      <c r="I246" s="16"/>
      <c r="J246" s="9"/>
      <c r="K246" s="9"/>
      <c r="L246" s="16"/>
    </row>
    <row r="247" spans="1:12">
      <c r="A247" s="1"/>
      <c r="B247" s="7"/>
      <c r="C247" s="7"/>
      <c r="D247" s="24"/>
      <c r="E247" s="9"/>
      <c r="F247" s="16"/>
      <c r="G247" s="40"/>
      <c r="H247" s="16"/>
      <c r="I247" s="16"/>
      <c r="J247" s="9"/>
      <c r="K247" s="9"/>
      <c r="L247" s="16"/>
    </row>
    <row r="248" spans="1:12">
      <c r="A248" s="1"/>
      <c r="B248" s="7"/>
      <c r="C248" s="7"/>
      <c r="D248" s="24"/>
      <c r="E248" s="9"/>
      <c r="F248" s="16"/>
      <c r="G248" s="40"/>
      <c r="H248" s="16"/>
      <c r="I248" s="16"/>
      <c r="J248" s="9"/>
      <c r="K248" s="9"/>
      <c r="L248" s="16"/>
    </row>
    <row r="249" spans="1:12" ht="12.75" customHeight="1">
      <c r="A249" s="2" t="s">
        <v>3626</v>
      </c>
      <c r="B249" s="10"/>
      <c r="C249" s="10"/>
      <c r="D249" s="24"/>
      <c r="E249" s="9"/>
      <c r="F249" s="16"/>
      <c r="G249" s="23" t="s">
        <v>3983</v>
      </c>
      <c r="H249" s="16"/>
      <c r="I249" s="16"/>
      <c r="J249" s="9"/>
      <c r="K249" s="9"/>
      <c r="L249" s="16"/>
    </row>
    <row r="250" spans="1:12" ht="25.5">
      <c r="A250" s="1" t="s">
        <v>3869</v>
      </c>
      <c r="B250" s="7">
        <v>58.47</v>
      </c>
      <c r="C250" s="7">
        <v>58.47</v>
      </c>
      <c r="D250" s="16">
        <f t="shared" ref="D250:D255" si="12">(C250-B250)/B250</f>
        <v>0</v>
      </c>
      <c r="E250" s="9"/>
      <c r="F250" s="16"/>
      <c r="G250" s="40"/>
      <c r="H250" s="16"/>
      <c r="I250" s="16"/>
      <c r="J250" s="9"/>
      <c r="K250" s="9"/>
      <c r="L250" s="16"/>
    </row>
    <row r="251" spans="1:12">
      <c r="A251" s="1" t="s">
        <v>3870</v>
      </c>
      <c r="B251" s="7">
        <v>58.47</v>
      </c>
      <c r="C251" s="7">
        <v>58.47</v>
      </c>
      <c r="D251" s="16">
        <f t="shared" si="12"/>
        <v>0</v>
      </c>
      <c r="E251" s="9"/>
      <c r="F251" s="16"/>
      <c r="G251" s="40"/>
      <c r="H251" s="16"/>
      <c r="I251" s="16"/>
      <c r="J251" s="9"/>
      <c r="K251" s="9"/>
      <c r="L251" s="16"/>
    </row>
    <row r="252" spans="1:12">
      <c r="A252" s="1" t="s">
        <v>3628</v>
      </c>
      <c r="B252" s="7">
        <v>62.05</v>
      </c>
      <c r="C252" s="7">
        <v>62.05</v>
      </c>
      <c r="D252" s="16">
        <f t="shared" si="12"/>
        <v>0</v>
      </c>
      <c r="E252" s="9"/>
      <c r="F252" s="16"/>
      <c r="G252" s="40"/>
      <c r="H252" s="16"/>
      <c r="I252" s="16"/>
      <c r="J252" s="9"/>
      <c r="K252" s="9"/>
      <c r="L252" s="16"/>
    </row>
    <row r="253" spans="1:12">
      <c r="A253" s="1" t="s">
        <v>3871</v>
      </c>
      <c r="B253" s="7">
        <v>58.47</v>
      </c>
      <c r="C253" s="7">
        <v>58.47</v>
      </c>
      <c r="D253" s="16">
        <f t="shared" si="12"/>
        <v>0</v>
      </c>
      <c r="E253" s="9"/>
      <c r="F253" s="16"/>
      <c r="G253" s="40"/>
      <c r="H253" s="16"/>
      <c r="I253" s="16"/>
      <c r="J253" s="9"/>
      <c r="K253" s="9"/>
      <c r="L253" s="16"/>
    </row>
    <row r="254" spans="1:12">
      <c r="A254" s="1" t="s">
        <v>3872</v>
      </c>
      <c r="B254" s="7">
        <v>58.47</v>
      </c>
      <c r="C254" s="7">
        <v>58.47</v>
      </c>
      <c r="D254" s="16">
        <f t="shared" si="12"/>
        <v>0</v>
      </c>
      <c r="E254" s="9"/>
      <c r="F254" s="16"/>
      <c r="G254" s="40"/>
      <c r="H254" s="16"/>
      <c r="I254" s="16"/>
      <c r="J254" s="9"/>
      <c r="K254" s="9"/>
      <c r="L254" s="16"/>
    </row>
    <row r="255" spans="1:12">
      <c r="A255" s="1" t="s">
        <v>3873</v>
      </c>
      <c r="B255" s="7">
        <v>58.47</v>
      </c>
      <c r="C255" s="7">
        <v>58.47</v>
      </c>
      <c r="D255" s="16">
        <f t="shared" si="12"/>
        <v>0</v>
      </c>
      <c r="E255" s="9"/>
      <c r="F255" s="16"/>
      <c r="G255" s="40"/>
      <c r="H255" s="16"/>
      <c r="I255" s="16"/>
      <c r="J255" s="9"/>
      <c r="K255" s="9"/>
      <c r="L255" s="16"/>
    </row>
    <row r="256" spans="1:12">
      <c r="A256" s="1"/>
      <c r="B256" s="7"/>
      <c r="C256" s="7"/>
      <c r="D256" s="24"/>
      <c r="E256" s="9"/>
      <c r="F256" s="16"/>
      <c r="G256" s="40"/>
      <c r="H256" s="16"/>
      <c r="I256" s="16"/>
      <c r="J256" s="9"/>
      <c r="K256" s="9"/>
      <c r="L256" s="16"/>
    </row>
    <row r="257" spans="1:12" ht="12.75" customHeight="1">
      <c r="A257" s="2" t="s">
        <v>3932</v>
      </c>
      <c r="B257" s="12" t="s">
        <v>3510</v>
      </c>
      <c r="C257" s="55" t="s">
        <v>3981</v>
      </c>
      <c r="D257" s="54"/>
      <c r="E257" s="44"/>
      <c r="F257" s="43"/>
      <c r="G257" s="23" t="s">
        <v>3983</v>
      </c>
      <c r="H257" s="43">
        <f>AVERAGE(F258)</f>
        <v>-1.3407821229050787E-3</v>
      </c>
      <c r="I257" s="43"/>
      <c r="J257" s="44"/>
      <c r="K257" s="44"/>
      <c r="L257" s="43"/>
    </row>
    <row r="258" spans="1:12" ht="12.75" customHeight="1">
      <c r="A258" s="1" t="s">
        <v>3694</v>
      </c>
      <c r="B258" s="7">
        <v>44.69</v>
      </c>
      <c r="C258" s="7">
        <v>44.69</v>
      </c>
      <c r="D258" s="16">
        <f>(C258-B258)/B258</f>
        <v>0</v>
      </c>
      <c r="E258" s="9">
        <v>44.75</v>
      </c>
      <c r="F258" s="16">
        <f>(C258-E258)/E258</f>
        <v>-1.3407821229050787E-3</v>
      </c>
      <c r="G258" s="40"/>
      <c r="H258" s="16"/>
      <c r="I258" s="16"/>
      <c r="J258" s="9"/>
      <c r="K258" s="9"/>
      <c r="L258" s="16"/>
    </row>
    <row r="259" spans="1:12">
      <c r="A259" s="1"/>
      <c r="B259" s="7"/>
      <c r="C259" s="7"/>
      <c r="D259" s="24"/>
      <c r="E259" s="9"/>
      <c r="F259" s="16"/>
      <c r="G259" s="40"/>
      <c r="H259" s="16"/>
      <c r="I259" s="16"/>
      <c r="J259" s="9"/>
      <c r="K259" s="9"/>
      <c r="L259" s="16"/>
    </row>
    <row r="260" spans="1:12" ht="12.75" customHeight="1">
      <c r="A260" s="2" t="s">
        <v>3632</v>
      </c>
      <c r="B260" s="11" t="s">
        <v>3534</v>
      </c>
      <c r="C260" s="31" t="s">
        <v>3995</v>
      </c>
      <c r="D260" s="53"/>
      <c r="E260" s="44"/>
      <c r="F260" s="43"/>
      <c r="G260" s="23" t="s">
        <v>3984</v>
      </c>
      <c r="H260" s="43"/>
      <c r="I260" s="43">
        <f>AVERAGE(F261:F263)</f>
        <v>-0.14872798434442266</v>
      </c>
      <c r="J260" s="44"/>
      <c r="K260" s="44"/>
      <c r="L260" s="43"/>
    </row>
    <row r="261" spans="1:12" ht="12.75" customHeight="1">
      <c r="A261" s="1" t="s">
        <v>3876</v>
      </c>
      <c r="B261" s="7">
        <v>34.28</v>
      </c>
      <c r="C261" s="7">
        <v>26.1</v>
      </c>
      <c r="D261" s="16">
        <f>(C261-B261)/B261</f>
        <v>-0.23862310385064175</v>
      </c>
      <c r="E261" s="9">
        <v>30.66</v>
      </c>
      <c r="F261" s="16">
        <f>(C261-E261)/E261</f>
        <v>-0.14872798434442266</v>
      </c>
      <c r="H261" s="16"/>
      <c r="I261" s="16"/>
      <c r="J261" s="9"/>
      <c r="K261" s="9"/>
      <c r="L261" s="16"/>
    </row>
    <row r="262" spans="1:12" ht="12.75" customHeight="1">
      <c r="A262" s="1" t="s">
        <v>3634</v>
      </c>
      <c r="B262" s="7">
        <v>34.28</v>
      </c>
      <c r="C262" s="7">
        <v>26.1</v>
      </c>
      <c r="D262" s="16">
        <f>(C262-B262)/B262</f>
        <v>-0.23862310385064175</v>
      </c>
      <c r="E262" s="9">
        <v>30.66</v>
      </c>
      <c r="F262" s="16">
        <f>(C262-E262)/E262</f>
        <v>-0.14872798434442266</v>
      </c>
      <c r="G262" s="40"/>
      <c r="H262" s="16"/>
      <c r="I262" s="16"/>
      <c r="J262" s="9"/>
      <c r="K262" s="9"/>
      <c r="L262" s="16"/>
    </row>
    <row r="263" spans="1:12" ht="12.75" customHeight="1">
      <c r="A263" s="1" t="s">
        <v>3635</v>
      </c>
      <c r="B263" s="7">
        <v>34.28</v>
      </c>
      <c r="C263" s="7">
        <v>26.1</v>
      </c>
      <c r="D263" s="16">
        <f>(C263-B263)/B263</f>
        <v>-0.23862310385064175</v>
      </c>
      <c r="E263" s="9">
        <v>30.66</v>
      </c>
      <c r="F263" s="16">
        <f>(C263-E263)/E263</f>
        <v>-0.14872798434442266</v>
      </c>
      <c r="G263" s="40"/>
      <c r="H263" s="16"/>
      <c r="I263" s="16"/>
      <c r="J263" s="9"/>
      <c r="K263" s="9"/>
      <c r="L263" s="16"/>
    </row>
    <row r="264" spans="1:12">
      <c r="A264" s="1"/>
      <c r="B264" s="7"/>
      <c r="C264" s="7"/>
      <c r="D264" s="24"/>
      <c r="E264" s="9"/>
      <c r="F264" s="16"/>
      <c r="G264" s="40"/>
      <c r="H264" s="16"/>
      <c r="I264" s="16"/>
      <c r="J264" s="9"/>
      <c r="K264" s="9"/>
      <c r="L264" s="16"/>
    </row>
    <row r="265" spans="1:12">
      <c r="A265" s="2" t="s">
        <v>3636</v>
      </c>
      <c r="B265" s="7"/>
      <c r="C265" s="31" t="s">
        <v>3498</v>
      </c>
      <c r="D265" s="52"/>
      <c r="E265" s="44"/>
      <c r="F265" s="43"/>
      <c r="G265" s="23" t="s">
        <v>3983</v>
      </c>
      <c r="H265" s="43">
        <f>AVERAGE(F266:F268)</f>
        <v>-0.11588738059326292</v>
      </c>
      <c r="I265" s="43"/>
      <c r="J265" s="44"/>
      <c r="K265" s="44"/>
      <c r="L265" s="43"/>
    </row>
    <row r="266" spans="1:12" ht="12.75" customHeight="1">
      <c r="A266" s="1" t="s">
        <v>3637</v>
      </c>
      <c r="B266" s="7">
        <v>36.24</v>
      </c>
      <c r="C266" s="7">
        <v>35.17</v>
      </c>
      <c r="D266" s="16">
        <f>(C266-B266)/B266</f>
        <v>-2.9525386313465789E-2</v>
      </c>
      <c r="E266" s="9">
        <v>39.78</v>
      </c>
      <c r="F266" s="16">
        <f>(C266-E266)/E266</f>
        <v>-0.11588738059326292</v>
      </c>
      <c r="G266" s="40"/>
      <c r="H266" s="16"/>
      <c r="I266" s="16"/>
      <c r="J266" s="9"/>
      <c r="K266" s="9"/>
      <c r="L266" s="16"/>
    </row>
    <row r="267" spans="1:12" ht="12.75" customHeight="1">
      <c r="A267" s="1" t="s">
        <v>3877</v>
      </c>
      <c r="B267" s="7">
        <v>36.24</v>
      </c>
      <c r="C267" s="7">
        <v>35.17</v>
      </c>
      <c r="D267" s="16">
        <f>(C267-B267)/B267</f>
        <v>-2.9525386313465789E-2</v>
      </c>
      <c r="E267" s="9">
        <v>39.78</v>
      </c>
      <c r="F267" s="16">
        <f>(C267-E267)/E267</f>
        <v>-0.11588738059326292</v>
      </c>
      <c r="G267" s="40"/>
      <c r="H267" s="16"/>
      <c r="I267" s="16"/>
      <c r="J267" s="9"/>
      <c r="K267" s="9"/>
      <c r="L267" s="16"/>
    </row>
    <row r="268" spans="1:12" ht="12.75" customHeight="1">
      <c r="A268" s="1" t="s">
        <v>3878</v>
      </c>
      <c r="B268" s="7">
        <v>36.24</v>
      </c>
      <c r="C268" s="7">
        <v>35.17</v>
      </c>
      <c r="D268" s="16">
        <f>(C268-B268)/B268</f>
        <v>-2.9525386313465789E-2</v>
      </c>
      <c r="E268" s="9">
        <v>39.78</v>
      </c>
      <c r="F268" s="16">
        <f>(C268-E268)/E268</f>
        <v>-0.11588738059326292</v>
      </c>
      <c r="G268" s="40"/>
      <c r="H268" s="16"/>
      <c r="I268" s="16"/>
      <c r="J268" s="9"/>
      <c r="K268" s="9"/>
      <c r="L268" s="16"/>
    </row>
    <row r="269" spans="1:12">
      <c r="A269" s="1"/>
      <c r="B269" s="7"/>
      <c r="C269" s="7"/>
      <c r="D269" s="24"/>
      <c r="E269" s="9"/>
      <c r="F269" s="16"/>
      <c r="G269" s="40"/>
      <c r="H269" s="16"/>
      <c r="I269" s="16"/>
      <c r="J269" s="9"/>
      <c r="K269" s="9"/>
      <c r="L269" s="16"/>
    </row>
    <row r="270" spans="1:12">
      <c r="A270" s="2" t="s">
        <v>3933</v>
      </c>
      <c r="B270" s="11">
        <v>0</v>
      </c>
      <c r="C270" s="7"/>
      <c r="D270" s="24"/>
      <c r="E270" s="9"/>
      <c r="F270" s="16"/>
      <c r="G270" s="40"/>
      <c r="H270" s="16"/>
      <c r="I270" s="16"/>
      <c r="J270" s="9"/>
      <c r="K270" s="9"/>
      <c r="L270" s="16"/>
    </row>
    <row r="271" spans="1:12">
      <c r="A271" s="1" t="s">
        <v>3880</v>
      </c>
      <c r="B271" s="11"/>
      <c r="C271" s="8" t="s">
        <v>3487</v>
      </c>
      <c r="D271" s="52"/>
      <c r="E271" s="44"/>
      <c r="F271" s="43"/>
      <c r="G271" s="23" t="s">
        <v>3983</v>
      </c>
      <c r="H271" s="43">
        <f>AVERAGE(F272)</f>
        <v>2.5133521834747674E-3</v>
      </c>
      <c r="I271" s="43"/>
      <c r="J271" s="44"/>
      <c r="K271" s="44"/>
      <c r="L271" s="43"/>
    </row>
    <row r="272" spans="1:12" ht="12.75" customHeight="1">
      <c r="A272" s="1" t="s">
        <v>3639</v>
      </c>
      <c r="B272" s="7">
        <v>31.83</v>
      </c>
      <c r="C272" s="7">
        <v>31.91</v>
      </c>
      <c r="D272" s="16">
        <f>(C272-B272)/B272</f>
        <v>2.5133521834747674E-3</v>
      </c>
      <c r="E272" s="9">
        <v>31.83</v>
      </c>
      <c r="F272" s="16">
        <f>(C272-E272)/E272</f>
        <v>2.5133521834747674E-3</v>
      </c>
      <c r="G272" s="40"/>
      <c r="H272" s="16"/>
      <c r="I272" s="16"/>
      <c r="J272" s="9"/>
      <c r="K272" s="9"/>
      <c r="L272" s="16"/>
    </row>
    <row r="273" spans="1:12">
      <c r="A273" s="1"/>
      <c r="B273" s="7"/>
      <c r="C273" s="7"/>
      <c r="D273" s="24"/>
      <c r="E273" s="9"/>
      <c r="F273" s="16"/>
      <c r="G273" s="40"/>
      <c r="H273" s="16"/>
      <c r="I273" s="16"/>
      <c r="J273" s="9"/>
      <c r="K273" s="9"/>
      <c r="L273" s="16"/>
    </row>
    <row r="274" spans="1:12" ht="12.75" customHeight="1">
      <c r="A274" s="2" t="s">
        <v>3640</v>
      </c>
      <c r="B274" s="12" t="s">
        <v>3510</v>
      </c>
      <c r="C274" s="8" t="s">
        <v>3487</v>
      </c>
      <c r="D274" s="54"/>
      <c r="E274" s="44"/>
      <c r="F274" s="43"/>
      <c r="G274" s="23" t="s">
        <v>3983</v>
      </c>
      <c r="H274" s="43">
        <f>AVERAGE(F275:F277)</f>
        <v>8.5341024770953566E-2</v>
      </c>
      <c r="I274" s="43"/>
      <c r="J274" s="44"/>
      <c r="K274" s="44"/>
      <c r="L274" s="43"/>
    </row>
    <row r="275" spans="1:12" ht="12.75" customHeight="1">
      <c r="A275" s="1" t="s">
        <v>3934</v>
      </c>
      <c r="B275" s="7">
        <v>58.52</v>
      </c>
      <c r="C275" s="7">
        <v>59.52</v>
      </c>
      <c r="D275" s="16">
        <f>(C275-B275)/B275</f>
        <v>1.7088174982911822E-2</v>
      </c>
      <c r="E275" s="9">
        <v>58.94</v>
      </c>
      <c r="F275" s="16">
        <f>(C275-E275)/E275</f>
        <v>9.840515778758151E-3</v>
      </c>
      <c r="G275" s="40"/>
      <c r="H275" s="16"/>
      <c r="I275" s="16"/>
      <c r="J275" s="9"/>
      <c r="K275" s="9"/>
      <c r="L275" s="16"/>
    </row>
    <row r="276" spans="1:12" ht="12.75" customHeight="1">
      <c r="A276" s="1" t="s">
        <v>3935</v>
      </c>
      <c r="B276" s="7">
        <v>62.95</v>
      </c>
      <c r="C276" s="7">
        <v>63.97</v>
      </c>
      <c r="D276" s="16">
        <f>(C276-B276)/B276</f>
        <v>1.6203335980937188E-2</v>
      </c>
      <c r="E276" s="9">
        <v>58.94</v>
      </c>
      <c r="F276" s="16">
        <f>(C276-E276)/E276</f>
        <v>8.5341024770953539E-2</v>
      </c>
      <c r="G276" s="40"/>
      <c r="H276" s="16"/>
      <c r="I276" s="16"/>
      <c r="J276" s="9"/>
      <c r="K276" s="9"/>
      <c r="L276" s="16"/>
    </row>
    <row r="277" spans="1:12" ht="12.75" customHeight="1">
      <c r="A277" s="1" t="s">
        <v>3936</v>
      </c>
      <c r="B277" s="7">
        <v>67.37</v>
      </c>
      <c r="C277" s="7">
        <v>68.42</v>
      </c>
      <c r="D277" s="16">
        <f>(C277-B277)/B277</f>
        <v>1.5585572213151211E-2</v>
      </c>
      <c r="E277" s="9">
        <v>58.94</v>
      </c>
      <c r="F277" s="16">
        <f>(C277-E277)/E277</f>
        <v>0.16084153376314902</v>
      </c>
      <c r="G277" s="40"/>
      <c r="H277" s="16"/>
      <c r="I277" s="16"/>
      <c r="J277" s="9"/>
      <c r="K277" s="9"/>
      <c r="L277" s="16"/>
    </row>
    <row r="278" spans="1:12">
      <c r="A278" s="1"/>
      <c r="B278" s="7"/>
      <c r="C278" s="7"/>
      <c r="D278" s="24"/>
      <c r="E278" s="9"/>
      <c r="F278" s="16"/>
      <c r="G278" s="40"/>
      <c r="H278" s="16"/>
      <c r="I278" s="16"/>
      <c r="J278" s="9"/>
      <c r="K278" s="9"/>
      <c r="L278" s="16"/>
    </row>
    <row r="279" spans="1:12" ht="12.75" customHeight="1">
      <c r="A279" s="2" t="s">
        <v>3644</v>
      </c>
      <c r="B279" s="11" t="s">
        <v>3534</v>
      </c>
      <c r="C279" s="8" t="s">
        <v>3487</v>
      </c>
      <c r="D279" s="53"/>
      <c r="E279" s="44"/>
      <c r="F279" s="43"/>
      <c r="G279" s="23" t="s">
        <v>3984</v>
      </c>
      <c r="H279" s="43"/>
      <c r="I279" s="43">
        <f>AVERAGE(F280:F282)</f>
        <v>-3.5870864886408866E-3</v>
      </c>
      <c r="J279" s="44"/>
      <c r="K279" s="44"/>
      <c r="L279" s="43"/>
    </row>
    <row r="280" spans="1:12" ht="12.75" customHeight="1">
      <c r="A280" s="1" t="s">
        <v>3645</v>
      </c>
      <c r="B280" s="7">
        <v>55.15</v>
      </c>
      <c r="C280" s="7">
        <v>25</v>
      </c>
      <c r="D280" s="16">
        <f>(C280-B280)/B280</f>
        <v>-0.54669084315503169</v>
      </c>
      <c r="E280" s="9">
        <v>25.09</v>
      </c>
      <c r="F280" s="16">
        <f>(C280-E280)/E280</f>
        <v>-3.587086488640887E-3</v>
      </c>
      <c r="G280" s="40"/>
      <c r="H280" s="16"/>
      <c r="I280" s="16"/>
      <c r="J280" s="9"/>
      <c r="K280" s="9"/>
      <c r="L280" s="16"/>
    </row>
    <row r="281" spans="1:12" ht="12.75" customHeight="1">
      <c r="A281" s="1" t="s">
        <v>3646</v>
      </c>
      <c r="B281" s="7">
        <v>57.9</v>
      </c>
      <c r="C281" s="7">
        <v>25</v>
      </c>
      <c r="D281" s="16">
        <f>(C281-B281)/B281</f>
        <v>-0.56822107081174433</v>
      </c>
      <c r="E281" s="9">
        <v>25.09</v>
      </c>
      <c r="F281" s="16">
        <f>(C281-E281)/E281</f>
        <v>-3.587086488640887E-3</v>
      </c>
      <c r="G281" s="40"/>
      <c r="H281" s="16"/>
      <c r="I281" s="16"/>
      <c r="J281" s="9"/>
      <c r="K281" s="9"/>
      <c r="L281" s="16"/>
    </row>
    <row r="282" spans="1:12" ht="12.75" customHeight="1">
      <c r="A282" s="1" t="s">
        <v>3647</v>
      </c>
      <c r="B282" s="7">
        <v>60.15</v>
      </c>
      <c r="C282" s="7">
        <v>25</v>
      </c>
      <c r="D282" s="16">
        <f>(C282-B282)/B282</f>
        <v>-0.58437240232751453</v>
      </c>
      <c r="E282" s="9">
        <v>25.09</v>
      </c>
      <c r="F282" s="16">
        <f>(C282-E282)/E282</f>
        <v>-3.587086488640887E-3</v>
      </c>
      <c r="G282" s="40"/>
      <c r="H282" s="16"/>
      <c r="I282" s="16"/>
      <c r="J282" s="9"/>
      <c r="K282" s="9"/>
      <c r="L282" s="16"/>
    </row>
    <row r="283" spans="1:12">
      <c r="A283" s="1"/>
      <c r="B283" s="7"/>
      <c r="C283" s="7"/>
      <c r="D283" s="24"/>
      <c r="E283" s="9"/>
      <c r="F283" s="16"/>
      <c r="G283" s="40"/>
      <c r="H283" s="16"/>
      <c r="I283" s="16"/>
      <c r="J283" s="9"/>
      <c r="K283" s="9"/>
      <c r="L283" s="16"/>
    </row>
    <row r="284" spans="1:12">
      <c r="A284" s="1"/>
      <c r="B284" s="7"/>
      <c r="C284" s="7"/>
      <c r="D284" s="24"/>
      <c r="E284" s="9"/>
      <c r="F284" s="16"/>
      <c r="G284" s="40"/>
      <c r="H284" s="16"/>
      <c r="I284" s="16"/>
      <c r="J284" s="9"/>
      <c r="K284" s="9"/>
      <c r="L284" s="16"/>
    </row>
    <row r="285" spans="1:12">
      <c r="A285" s="2" t="s">
        <v>3651</v>
      </c>
      <c r="B285" s="7"/>
      <c r="C285" s="8" t="s">
        <v>3487</v>
      </c>
      <c r="D285" s="52"/>
      <c r="E285" s="44"/>
      <c r="F285" s="43"/>
      <c r="G285" s="23" t="s">
        <v>3983</v>
      </c>
      <c r="H285" s="43">
        <f>AVERAGE(F286)</f>
        <v>0.30133928571428559</v>
      </c>
      <c r="I285" s="43"/>
      <c r="J285" s="44"/>
      <c r="K285" s="44"/>
      <c r="L285" s="43"/>
    </row>
    <row r="286" spans="1:12" ht="12.75" customHeight="1">
      <c r="A286" s="1" t="s">
        <v>3652</v>
      </c>
      <c r="B286" s="7">
        <v>46.23</v>
      </c>
      <c r="C286" s="7">
        <v>46.64</v>
      </c>
      <c r="D286" s="16">
        <f>(C286-B286)/B286</f>
        <v>8.8686999783691052E-3</v>
      </c>
      <c r="E286" s="9">
        <v>35.840000000000003</v>
      </c>
      <c r="F286" s="16">
        <f>(C286-E286)/E286</f>
        <v>0.30133928571428559</v>
      </c>
      <c r="H286" s="16"/>
      <c r="I286" s="16"/>
      <c r="J286" s="9"/>
      <c r="K286" s="9"/>
      <c r="L286" s="16"/>
    </row>
    <row r="287" spans="1:12">
      <c r="A287" s="1"/>
      <c r="B287" s="7"/>
      <c r="C287" s="7"/>
      <c r="D287" s="24"/>
      <c r="E287" s="9"/>
      <c r="F287" s="16"/>
      <c r="G287" s="40"/>
      <c r="H287" s="16"/>
      <c r="I287" s="16"/>
      <c r="J287" s="9"/>
      <c r="K287" s="9"/>
      <c r="L287" s="16"/>
    </row>
    <row r="288" spans="1:12" ht="25.5" customHeight="1">
      <c r="A288" s="2" t="s">
        <v>3883</v>
      </c>
      <c r="B288" s="12" t="s">
        <v>3510</v>
      </c>
      <c r="C288" s="55" t="s">
        <v>3997</v>
      </c>
      <c r="D288" s="54"/>
      <c r="E288" s="44"/>
      <c r="F288" s="43"/>
      <c r="G288" s="23" t="s">
        <v>3983</v>
      </c>
      <c r="H288" s="43">
        <f>AVERAGE(F289:F291)</f>
        <v>0.43065611236337925</v>
      </c>
      <c r="I288" s="43"/>
      <c r="J288" s="44"/>
      <c r="K288" s="44"/>
      <c r="L288" s="43"/>
    </row>
    <row r="289" spans="1:12" ht="12.75" customHeight="1">
      <c r="A289" s="1" t="s">
        <v>3884</v>
      </c>
      <c r="B289" s="7">
        <v>32.479999999999997</v>
      </c>
      <c r="C289" s="7">
        <v>34.630000000000003</v>
      </c>
      <c r="D289" s="16">
        <f>(C289-B289)/B289</f>
        <v>6.6194581280788353E-2</v>
      </c>
      <c r="E289" s="9">
        <v>24.52</v>
      </c>
      <c r="F289" s="16">
        <f>(C289-E289)/E289</f>
        <v>0.41231647634584023</v>
      </c>
      <c r="G289" s="40"/>
      <c r="H289" s="16"/>
      <c r="I289" s="16"/>
      <c r="J289" s="9"/>
      <c r="K289" s="9"/>
      <c r="L289" s="16"/>
    </row>
    <row r="290" spans="1:12" ht="12.75" customHeight="1">
      <c r="A290" s="1" t="s">
        <v>3885</v>
      </c>
      <c r="B290" s="7">
        <v>43.61</v>
      </c>
      <c r="C290" s="7">
        <v>46.66</v>
      </c>
      <c r="D290" s="16">
        <f>(C290-B290)/B290</f>
        <v>6.9938087594588333E-2</v>
      </c>
      <c r="E290" s="9">
        <v>33.32</v>
      </c>
      <c r="F290" s="16">
        <f>(C290-E290)/E290</f>
        <v>0.40036014405762294</v>
      </c>
      <c r="G290" s="40"/>
      <c r="H290" s="16"/>
      <c r="I290" s="16"/>
      <c r="J290" s="9"/>
      <c r="K290" s="9"/>
      <c r="L290" s="16"/>
    </row>
    <row r="291" spans="1:12" ht="12.75" customHeight="1">
      <c r="A291" s="1" t="s">
        <v>3886</v>
      </c>
      <c r="B291" s="7">
        <v>46.04</v>
      </c>
      <c r="C291" s="7">
        <v>49.29</v>
      </c>
      <c r="D291" s="16">
        <f>(C291-B291)/B291</f>
        <v>7.0590790616854915E-2</v>
      </c>
      <c r="E291" s="9">
        <v>33.32</v>
      </c>
      <c r="F291" s="16">
        <f>(C291-E291)/E291</f>
        <v>0.47929171668667464</v>
      </c>
      <c r="G291" s="40"/>
      <c r="H291" s="16"/>
      <c r="I291" s="16"/>
      <c r="J291" s="9"/>
      <c r="K291" s="9"/>
      <c r="L291" s="16"/>
    </row>
    <row r="292" spans="1:12">
      <c r="A292" s="1"/>
      <c r="B292" s="7"/>
      <c r="C292" s="7"/>
      <c r="D292" s="24"/>
      <c r="E292" s="9"/>
      <c r="F292" s="16"/>
      <c r="G292" s="40"/>
      <c r="H292" s="16"/>
      <c r="I292" s="16"/>
      <c r="J292" s="9"/>
      <c r="K292" s="9"/>
      <c r="L292" s="16"/>
    </row>
    <row r="293" spans="1:12">
      <c r="A293" s="1"/>
      <c r="B293" s="7"/>
      <c r="C293" s="7"/>
      <c r="D293" s="24"/>
      <c r="E293" s="9"/>
      <c r="F293" s="16"/>
      <c r="G293" s="40"/>
      <c r="H293" s="16"/>
      <c r="I293" s="16"/>
      <c r="J293" s="9"/>
      <c r="K293" s="9"/>
      <c r="L293" s="16"/>
    </row>
    <row r="294" spans="1:12" ht="51">
      <c r="A294" s="2" t="s">
        <v>3662</v>
      </c>
      <c r="B294" s="12" t="s">
        <v>3547</v>
      </c>
      <c r="C294" s="7"/>
      <c r="D294" s="16"/>
      <c r="E294" s="9"/>
      <c r="F294" s="16"/>
      <c r="G294" s="40"/>
      <c r="H294" s="16"/>
      <c r="I294" s="16"/>
      <c r="J294" s="9"/>
      <c r="K294" s="9"/>
      <c r="L294" s="16"/>
    </row>
    <row r="295" spans="1:12">
      <c r="A295" s="1" t="s">
        <v>3663</v>
      </c>
      <c r="B295" s="7">
        <v>42.94</v>
      </c>
      <c r="C295" s="7">
        <v>22.16</v>
      </c>
      <c r="D295" s="16">
        <f>(C295-B295)/B295</f>
        <v>-0.48393106660456447</v>
      </c>
      <c r="E295" s="9"/>
      <c r="F295" s="16"/>
      <c r="G295" s="40"/>
      <c r="H295" s="16"/>
      <c r="I295" s="16"/>
      <c r="J295" s="9"/>
      <c r="K295" s="9"/>
      <c r="L295" s="16"/>
    </row>
    <row r="296" spans="1:12">
      <c r="A296" s="1"/>
      <c r="B296" s="7"/>
      <c r="C296" s="7"/>
      <c r="D296" s="24"/>
      <c r="E296" s="9"/>
      <c r="F296" s="16"/>
      <c r="G296" s="40"/>
      <c r="H296" s="16"/>
      <c r="I296" s="16"/>
      <c r="J296" s="9"/>
      <c r="K296" s="9"/>
      <c r="L296" s="16"/>
    </row>
    <row r="297" spans="1:12">
      <c r="A297" s="1"/>
      <c r="B297" s="7"/>
      <c r="C297" s="7"/>
      <c r="D297" s="24"/>
      <c r="E297" s="9"/>
      <c r="F297" s="16"/>
      <c r="G297" s="40"/>
      <c r="H297" s="16"/>
      <c r="I297" s="16"/>
      <c r="J297" s="9"/>
      <c r="K297" s="9"/>
      <c r="L297" s="16"/>
    </row>
    <row r="298" spans="1:12" ht="38.25">
      <c r="A298" s="2" t="s">
        <v>3664</v>
      </c>
      <c r="B298" s="12" t="s">
        <v>3510</v>
      </c>
      <c r="C298" s="55" t="s">
        <v>3981</v>
      </c>
      <c r="D298" s="43"/>
      <c r="E298" s="44"/>
      <c r="F298" s="43"/>
      <c r="G298" s="23" t="s">
        <v>3983</v>
      </c>
      <c r="H298" s="43">
        <f>AVERAGE(F300:F306)</f>
        <v>-3.7722073497201756E-3</v>
      </c>
      <c r="I298" s="43"/>
      <c r="J298" s="44"/>
      <c r="K298" s="44"/>
      <c r="L298" s="16"/>
    </row>
    <row r="299" spans="1:12">
      <c r="A299" s="3" t="s">
        <v>3569</v>
      </c>
      <c r="B299" s="7"/>
      <c r="C299" s="7"/>
      <c r="D299" s="24"/>
      <c r="E299" s="9"/>
      <c r="F299" s="16"/>
      <c r="G299" s="40"/>
      <c r="H299" s="16"/>
      <c r="I299" s="16"/>
      <c r="J299" s="9"/>
      <c r="K299" s="9"/>
      <c r="L299" s="16"/>
    </row>
    <row r="300" spans="1:12" ht="12.75" customHeight="1">
      <c r="A300" s="1" t="s">
        <v>3573</v>
      </c>
      <c r="B300" s="7">
        <v>46.13</v>
      </c>
      <c r="C300" s="7">
        <v>46.13</v>
      </c>
      <c r="D300" s="16">
        <f t="shared" ref="D300:D306" si="13">(C300-B300)/B300</f>
        <v>0</v>
      </c>
      <c r="E300" s="9">
        <v>46.96</v>
      </c>
      <c r="F300" s="16">
        <f t="shared" ref="F300:F306" si="14">(C300-E300)/E300</f>
        <v>-1.7674616695059587E-2</v>
      </c>
      <c r="G300" s="40"/>
      <c r="H300" s="16"/>
      <c r="I300" s="16"/>
      <c r="J300" s="9"/>
      <c r="K300" s="9"/>
      <c r="L300" s="16"/>
    </row>
    <row r="301" spans="1:12" ht="12.75" customHeight="1">
      <c r="A301" s="1" t="s">
        <v>3575</v>
      </c>
      <c r="B301" s="7">
        <v>46.23</v>
      </c>
      <c r="C301" s="7">
        <v>46.23</v>
      </c>
      <c r="D301" s="16">
        <f t="shared" si="13"/>
        <v>0</v>
      </c>
      <c r="E301" s="9">
        <v>46.96</v>
      </c>
      <c r="F301" s="16">
        <f t="shared" si="14"/>
        <v>-1.5545144804088671E-2</v>
      </c>
      <c r="G301" s="40"/>
      <c r="H301" s="16"/>
      <c r="I301" s="16"/>
      <c r="J301" s="9"/>
      <c r="K301" s="9"/>
      <c r="L301" s="16"/>
    </row>
    <row r="302" spans="1:12" ht="12.75" customHeight="1">
      <c r="A302" s="1" t="s">
        <v>3576</v>
      </c>
      <c r="B302" s="7">
        <v>46.44</v>
      </c>
      <c r="C302" s="7">
        <v>46.44</v>
      </c>
      <c r="D302" s="16">
        <f t="shared" si="13"/>
        <v>0</v>
      </c>
      <c r="E302" s="9">
        <v>46.96</v>
      </c>
      <c r="F302" s="16">
        <f t="shared" si="14"/>
        <v>-1.107325383304947E-2</v>
      </c>
      <c r="G302" s="40"/>
      <c r="H302" s="16"/>
      <c r="I302" s="16"/>
      <c r="J302" s="9"/>
      <c r="K302" s="9"/>
      <c r="L302" s="16"/>
    </row>
    <row r="303" spans="1:12" ht="12.75" customHeight="1">
      <c r="A303" s="1" t="s">
        <v>3577</v>
      </c>
      <c r="B303" s="7">
        <v>46.62</v>
      </c>
      <c r="C303" s="7">
        <v>46.62</v>
      </c>
      <c r="D303" s="16">
        <f t="shared" si="13"/>
        <v>0</v>
      </c>
      <c r="E303" s="9">
        <v>46.96</v>
      </c>
      <c r="F303" s="16">
        <f t="shared" si="14"/>
        <v>-7.2402044293016056E-3</v>
      </c>
      <c r="G303" s="40"/>
      <c r="H303" s="16"/>
      <c r="I303" s="16"/>
      <c r="J303" s="9"/>
      <c r="K303" s="9"/>
      <c r="L303" s="16"/>
    </row>
    <row r="304" spans="1:12" ht="12.75" customHeight="1">
      <c r="A304" s="1" t="s">
        <v>3579</v>
      </c>
      <c r="B304" s="7">
        <v>46.82</v>
      </c>
      <c r="C304" s="7">
        <v>46.82</v>
      </c>
      <c r="D304" s="16">
        <f t="shared" si="13"/>
        <v>0</v>
      </c>
      <c r="E304" s="9">
        <v>46.96</v>
      </c>
      <c r="F304" s="16">
        <f t="shared" si="14"/>
        <v>-2.9812606473594667E-3</v>
      </c>
      <c r="G304" s="40"/>
      <c r="H304" s="16"/>
      <c r="I304" s="16"/>
      <c r="J304" s="9"/>
      <c r="K304" s="9"/>
      <c r="L304" s="16"/>
    </row>
    <row r="305" spans="1:12" ht="12.75" customHeight="1">
      <c r="A305" s="1" t="s">
        <v>3580</v>
      </c>
      <c r="B305" s="7">
        <v>47.12</v>
      </c>
      <c r="C305" s="7">
        <v>47.12</v>
      </c>
      <c r="D305" s="16">
        <f t="shared" si="13"/>
        <v>0</v>
      </c>
      <c r="E305" s="9">
        <v>46.96</v>
      </c>
      <c r="F305" s="16">
        <f t="shared" si="14"/>
        <v>3.4071550255535899E-3</v>
      </c>
      <c r="G305" s="40"/>
      <c r="H305" s="16"/>
      <c r="I305" s="16"/>
      <c r="J305" s="9"/>
      <c r="K305" s="9"/>
      <c r="L305" s="16"/>
    </row>
    <row r="306" spans="1:12" ht="25.5">
      <c r="A306" s="1" t="s">
        <v>3888</v>
      </c>
      <c r="B306" s="7">
        <v>48.12</v>
      </c>
      <c r="C306" s="7">
        <v>48.12</v>
      </c>
      <c r="D306" s="16">
        <f t="shared" si="13"/>
        <v>0</v>
      </c>
      <c r="E306" s="9">
        <v>46.96</v>
      </c>
      <c r="F306" s="16">
        <f t="shared" si="14"/>
        <v>2.470187393526398E-2</v>
      </c>
      <c r="G306" s="40"/>
      <c r="H306" s="16"/>
      <c r="I306" s="16"/>
      <c r="J306" s="9"/>
      <c r="K306" s="9"/>
      <c r="L306" s="16"/>
    </row>
    <row r="307" spans="1:12">
      <c r="A307" s="1"/>
      <c r="B307" s="7"/>
      <c r="C307" s="7"/>
      <c r="D307" s="24"/>
      <c r="E307" s="9"/>
      <c r="F307" s="16"/>
      <c r="G307" s="40"/>
      <c r="H307" s="16"/>
      <c r="I307" s="16"/>
      <c r="J307" s="9"/>
      <c r="K307" s="9"/>
      <c r="L307" s="16"/>
    </row>
    <row r="308" spans="1:12">
      <c r="A308" s="2" t="s">
        <v>3889</v>
      </c>
      <c r="B308" s="7"/>
      <c r="C308" s="31"/>
      <c r="D308" s="52"/>
      <c r="E308" s="44"/>
      <c r="F308" s="43"/>
      <c r="G308" s="23" t="s">
        <v>3984</v>
      </c>
      <c r="H308" s="43"/>
      <c r="I308" s="43">
        <f>AVERAGE(F309:F311)</f>
        <v>0</v>
      </c>
      <c r="J308" s="44"/>
      <c r="K308" s="44"/>
      <c r="L308" s="43"/>
    </row>
    <row r="309" spans="1:12" ht="12.75" customHeight="1">
      <c r="A309" s="1" t="s">
        <v>3667</v>
      </c>
      <c r="B309" s="7">
        <v>31.49</v>
      </c>
      <c r="C309" s="7">
        <v>19.420000000000002</v>
      </c>
      <c r="D309" s="16">
        <f>(C309-B309)/B309</f>
        <v>-0.38329628453477288</v>
      </c>
      <c r="E309" s="9">
        <v>19.420000000000002</v>
      </c>
      <c r="F309" s="16">
        <f>(C309-E309)/E309</f>
        <v>0</v>
      </c>
      <c r="G309" s="40"/>
      <c r="H309" s="16"/>
      <c r="I309" s="16"/>
      <c r="J309" s="9"/>
      <c r="K309" s="9"/>
      <c r="L309" s="16"/>
    </row>
    <row r="310" spans="1:12">
      <c r="A310" s="1"/>
      <c r="B310" s="7"/>
      <c r="C310" s="7"/>
      <c r="D310" s="24"/>
      <c r="E310" s="9"/>
      <c r="F310" s="16"/>
      <c r="G310" s="40"/>
      <c r="H310" s="16"/>
      <c r="I310" s="16"/>
      <c r="J310" s="9"/>
      <c r="K310" s="9"/>
      <c r="L310" s="16"/>
    </row>
    <row r="311" spans="1:12" ht="25.5" customHeight="1">
      <c r="A311" s="2" t="s">
        <v>3891</v>
      </c>
      <c r="B311" s="12" t="s">
        <v>3649</v>
      </c>
      <c r="C311" s="8" t="s">
        <v>3487</v>
      </c>
      <c r="D311" s="54"/>
      <c r="E311" s="44"/>
      <c r="F311" s="43"/>
      <c r="G311" s="23" t="s">
        <v>3983</v>
      </c>
      <c r="H311" s="43">
        <f>AVERAGE(F312:F321)</f>
        <v>2.9802782179961244E-2</v>
      </c>
      <c r="I311" s="43"/>
      <c r="J311" s="44"/>
      <c r="K311" s="44"/>
      <c r="L311" s="43"/>
    </row>
    <row r="312" spans="1:12" ht="12.75" customHeight="1">
      <c r="A312" s="1" t="s">
        <v>3892</v>
      </c>
      <c r="B312" s="7">
        <v>55.16</v>
      </c>
      <c r="C312" s="7">
        <v>56.91</v>
      </c>
      <c r="D312" s="16">
        <f>(C312-B312)/B312</f>
        <v>3.1725888324873101E-2</v>
      </c>
      <c r="E312" s="9">
        <v>56.79</v>
      </c>
      <c r="F312" s="16">
        <f>(C312-E312)/E312</f>
        <v>2.1130480718435894E-3</v>
      </c>
      <c r="G312" s="40"/>
      <c r="H312" s="16"/>
      <c r="I312" s="16"/>
      <c r="J312" s="9"/>
      <c r="K312" s="9"/>
      <c r="L312" s="16"/>
    </row>
    <row r="313" spans="1:12">
      <c r="A313" s="1"/>
      <c r="B313" s="7"/>
      <c r="C313" s="7"/>
      <c r="D313" s="24"/>
      <c r="E313" s="9"/>
      <c r="F313" s="16"/>
      <c r="G313" s="40"/>
      <c r="H313" s="16"/>
      <c r="I313" s="16"/>
      <c r="J313" s="9"/>
      <c r="K313" s="9"/>
      <c r="L313" s="16"/>
    </row>
    <row r="314" spans="1:12" ht="25.5" customHeight="1">
      <c r="A314" s="2" t="s">
        <v>3893</v>
      </c>
      <c r="B314" s="12" t="s">
        <v>3649</v>
      </c>
      <c r="C314" s="8" t="s">
        <v>3487</v>
      </c>
      <c r="D314" s="54"/>
      <c r="E314" s="44"/>
      <c r="F314" s="43"/>
      <c r="G314" s="23"/>
      <c r="H314" s="43"/>
      <c r="I314" s="43"/>
      <c r="J314" s="44"/>
      <c r="K314" s="44"/>
      <c r="L314" s="43"/>
    </row>
    <row r="315" spans="1:12" ht="12.75" customHeight="1">
      <c r="A315" s="1" t="s">
        <v>3894</v>
      </c>
      <c r="B315" s="7">
        <v>56.65</v>
      </c>
      <c r="C315" s="7">
        <v>58.4</v>
      </c>
      <c r="D315" s="16">
        <f>(C315-B315)/B315</f>
        <v>3.089143865842895E-2</v>
      </c>
      <c r="E315" s="9">
        <v>56.79</v>
      </c>
      <c r="F315" s="16">
        <f>(C315-E315)/E315</f>
        <v>2.8350061630568753E-2</v>
      </c>
      <c r="G315" s="40"/>
      <c r="H315" s="16"/>
      <c r="I315" s="16"/>
      <c r="J315" s="9"/>
      <c r="K315" s="9"/>
      <c r="L315" s="16"/>
    </row>
    <row r="316" spans="1:12">
      <c r="A316" s="1"/>
      <c r="B316" s="7"/>
      <c r="C316" s="7"/>
      <c r="D316" s="24"/>
      <c r="E316" s="9"/>
      <c r="F316" s="16"/>
      <c r="G316" s="40"/>
      <c r="H316" s="16"/>
      <c r="I316" s="16"/>
      <c r="J316" s="9"/>
      <c r="K316" s="9"/>
      <c r="L316" s="16"/>
    </row>
    <row r="317" spans="1:12" ht="25.5" customHeight="1">
      <c r="A317" s="2" t="s">
        <v>3895</v>
      </c>
      <c r="B317" s="12" t="s">
        <v>3649</v>
      </c>
      <c r="C317" s="8" t="s">
        <v>3487</v>
      </c>
      <c r="D317" s="54"/>
      <c r="E317" s="8"/>
      <c r="F317" s="43"/>
      <c r="G317" s="23"/>
      <c r="H317" s="43"/>
      <c r="I317" s="43"/>
      <c r="J317" s="44"/>
      <c r="K317" s="44"/>
      <c r="L317" s="43"/>
    </row>
    <row r="318" spans="1:12" ht="12.75" customHeight="1">
      <c r="A318" s="1" t="s">
        <v>3896</v>
      </c>
      <c r="B318" s="7">
        <v>57.75</v>
      </c>
      <c r="C318" s="7">
        <v>59.5</v>
      </c>
      <c r="D318" s="16">
        <f>(C318-B318)/B318</f>
        <v>3.0303030303030304E-2</v>
      </c>
      <c r="E318" s="9">
        <v>56.79</v>
      </c>
      <c r="F318" s="16">
        <f>(C318-E318)/E318</f>
        <v>4.7719668955802097E-2</v>
      </c>
      <c r="G318" s="40"/>
      <c r="H318" s="16"/>
      <c r="I318" s="16"/>
      <c r="J318" s="9"/>
      <c r="K318" s="9"/>
      <c r="L318" s="16"/>
    </row>
    <row r="319" spans="1:12">
      <c r="A319" s="1"/>
      <c r="B319" s="7"/>
      <c r="C319" s="7"/>
      <c r="D319" s="24"/>
      <c r="E319" s="9"/>
      <c r="F319" s="16"/>
      <c r="G319" s="40"/>
      <c r="H319" s="16"/>
      <c r="I319" s="16"/>
      <c r="J319" s="9"/>
      <c r="K319" s="9"/>
      <c r="L319" s="16"/>
    </row>
    <row r="320" spans="1:12" ht="25.5" customHeight="1">
      <c r="A320" s="2" t="s">
        <v>3897</v>
      </c>
      <c r="B320" s="12" t="s">
        <v>3649</v>
      </c>
      <c r="C320" s="8" t="s">
        <v>3487</v>
      </c>
      <c r="D320" s="54"/>
      <c r="E320" s="44"/>
      <c r="F320" s="43"/>
      <c r="G320" s="23"/>
      <c r="H320" s="43"/>
      <c r="I320" s="43"/>
      <c r="J320" s="44"/>
      <c r="K320" s="44"/>
      <c r="L320" s="43"/>
    </row>
    <row r="321" spans="1:12" ht="12.75" customHeight="1">
      <c r="A321" s="1" t="s">
        <v>3898</v>
      </c>
      <c r="B321" s="7">
        <v>57.37</v>
      </c>
      <c r="C321" s="7">
        <v>59.12</v>
      </c>
      <c r="D321" s="16">
        <f>(C321-B321)/B321</f>
        <v>3.0503747603276975E-2</v>
      </c>
      <c r="E321" s="9">
        <v>56.79</v>
      </c>
      <c r="F321" s="16">
        <f>(C321-E321)/E321</f>
        <v>4.1028350061630539E-2</v>
      </c>
      <c r="G321" s="40"/>
      <c r="H321" s="16"/>
      <c r="I321" s="16"/>
      <c r="J321" s="9"/>
      <c r="K321" s="9"/>
      <c r="L321" s="16"/>
    </row>
    <row r="322" spans="1:12">
      <c r="A322" s="1"/>
      <c r="B322" s="7"/>
      <c r="C322" s="7"/>
      <c r="D322" s="24"/>
      <c r="E322" s="9"/>
      <c r="F322" s="16"/>
      <c r="G322" s="40"/>
      <c r="H322" s="16"/>
      <c r="I322" s="16"/>
      <c r="J322" s="9"/>
      <c r="K322" s="9"/>
      <c r="L322" s="16"/>
    </row>
    <row r="323" spans="1:12" ht="25.5" customHeight="1">
      <c r="A323" s="2" t="s">
        <v>3899</v>
      </c>
      <c r="B323" s="12" t="s">
        <v>3649</v>
      </c>
      <c r="C323" s="8" t="s">
        <v>3487</v>
      </c>
      <c r="D323" s="54"/>
      <c r="E323" s="44"/>
      <c r="F323" s="43"/>
      <c r="G323" s="23" t="s">
        <v>3983</v>
      </c>
      <c r="H323" s="43">
        <f>AVERAGE(F324:F327)</f>
        <v>-2.9934847684451788E-3</v>
      </c>
      <c r="I323" s="43"/>
      <c r="J323" s="44"/>
      <c r="K323" s="44"/>
      <c r="L323" s="43"/>
    </row>
    <row r="324" spans="1:12" ht="12.75" customHeight="1">
      <c r="A324" s="1" t="s">
        <v>3900</v>
      </c>
      <c r="B324" s="7">
        <v>54.87</v>
      </c>
      <c r="C324" s="7">
        <v>56.62</v>
      </c>
      <c r="D324" s="16">
        <f>(C324-B324)/B324</f>
        <v>3.1893566611991983E-2</v>
      </c>
      <c r="E324" s="9">
        <v>56.79</v>
      </c>
      <c r="F324" s="16">
        <f>(C324-E324)/E324</f>
        <v>-2.9934847684451788E-3</v>
      </c>
      <c r="G324" s="40"/>
      <c r="H324" s="16"/>
      <c r="I324" s="16"/>
      <c r="J324" s="9"/>
      <c r="K324" s="9"/>
      <c r="L324" s="16"/>
    </row>
    <row r="325" spans="1:12">
      <c r="A325" s="1"/>
      <c r="B325" s="7"/>
      <c r="C325" s="7"/>
      <c r="D325" s="24"/>
      <c r="E325" s="9"/>
      <c r="F325" s="16"/>
      <c r="G325" s="40"/>
      <c r="H325" s="16"/>
      <c r="I325" s="16"/>
      <c r="J325" s="9"/>
      <c r="K325" s="9"/>
      <c r="L325" s="16"/>
    </row>
    <row r="326" spans="1:12" ht="25.5" customHeight="1">
      <c r="A326" s="2" t="s">
        <v>3901</v>
      </c>
      <c r="B326" s="12" t="s">
        <v>3649</v>
      </c>
      <c r="C326" s="8" t="s">
        <v>3487</v>
      </c>
      <c r="D326" s="54"/>
      <c r="E326" s="44"/>
      <c r="F326" s="43"/>
      <c r="G326" s="23"/>
      <c r="H326" s="43"/>
      <c r="I326" s="43"/>
      <c r="J326" s="44"/>
      <c r="K326" s="44"/>
      <c r="L326" s="43"/>
    </row>
    <row r="327" spans="1:12" ht="12.75" customHeight="1">
      <c r="A327" s="1" t="s">
        <v>3902</v>
      </c>
      <c r="B327" s="7">
        <v>54.87</v>
      </c>
      <c r="C327" s="7">
        <v>56.62</v>
      </c>
      <c r="D327" s="16">
        <f>(C327-B327)/B327</f>
        <v>3.1893566611991983E-2</v>
      </c>
      <c r="E327" s="9">
        <v>56.79</v>
      </c>
      <c r="F327" s="16">
        <f>(C327-E327)/E327</f>
        <v>-2.9934847684451788E-3</v>
      </c>
      <c r="H327" s="16"/>
      <c r="I327" s="16"/>
      <c r="J327" s="9"/>
      <c r="K327" s="9"/>
      <c r="L327" s="16"/>
    </row>
    <row r="329" spans="1:12">
      <c r="A329" s="8" t="s">
        <v>3988</v>
      </c>
      <c r="B329" s="7"/>
      <c r="D329" s="16"/>
      <c r="E329" s="9"/>
      <c r="F329" s="16"/>
      <c r="G329" s="40"/>
    </row>
    <row r="330" spans="1:12">
      <c r="A330" s="1" t="s">
        <v>3986</v>
      </c>
      <c r="B330" s="7"/>
      <c r="D330" s="16"/>
      <c r="E330" s="9"/>
      <c r="F330" s="16"/>
      <c r="G330" s="40">
        <f>COUNTIF(G4:G327,"Y")</f>
        <v>30</v>
      </c>
    </row>
    <row r="331" spans="1:12">
      <c r="A331" s="1" t="s">
        <v>3987</v>
      </c>
      <c r="B331" s="7"/>
      <c r="D331" s="16"/>
      <c r="E331" s="9"/>
      <c r="F331" s="16"/>
      <c r="G331" s="41">
        <f>COUNTIF(G4:G327,"N")</f>
        <v>8</v>
      </c>
    </row>
    <row r="332" spans="1:12">
      <c r="A332" s="8" t="s">
        <v>3985</v>
      </c>
      <c r="B332"/>
      <c r="E332" s="9"/>
      <c r="F332" s="16"/>
      <c r="G332" s="23">
        <f>SUM(G330:G331)</f>
        <v>38</v>
      </c>
    </row>
  </sheetData>
  <mergeCells count="2">
    <mergeCell ref="B84:B85"/>
    <mergeCell ref="A69:B69"/>
  </mergeCells>
  <phoneticPr fontId="2" type="noConversion"/>
  <hyperlinks>
    <hyperlink ref="A1" r:id="rId1" display="http://www.laborcommissioner.com/10rates/esmerald.html"/>
    <hyperlink ref="A70" location="laborzone" display="laborzone"/>
    <hyperlink ref="A85" location="LABORER GROUP" display="LABORER GROUP"/>
    <hyperlink ref="A114" location="op eng groups" display="op eng groups"/>
    <hyperlink ref="A145" location="op eng cranes groups" display="op eng cranes groups"/>
    <hyperlink ref="A219" location="OP ENG SURVEY GROUP CLASS 07" display="OP ENG SURVEY GROUP CLASS 07"/>
    <hyperlink ref="A233" location="op eng tunnel groups" display="op eng tunnel groups"/>
    <hyperlink ref="A299" location="Truck Driver 08" display="Truck Driver 08"/>
    <hyperlink ref="B326" location="opengzone" display="opengzone"/>
    <hyperlink ref="B323" location="opengzone" display="opengzone"/>
    <hyperlink ref="B320" location="opengzone" display="opengzone"/>
    <hyperlink ref="B317" location="opengzone" display="opengzone"/>
    <hyperlink ref="B314" location="opengzone" display="opengzone"/>
    <hyperlink ref="B311" location="opengzone" display="opengzone"/>
    <hyperlink ref="B298" location="Truck Zone" display="Truck Zone"/>
    <hyperlink ref="B294" location="laborzone" display="laborzone"/>
    <hyperlink ref="B288" location="TILE TERRAZZO MARBLE ZONE" display="TILE TERRAZZO MARBLE ZONE"/>
    <hyperlink ref="B274" location="sheetzone" display="sheetzone"/>
    <hyperlink ref="B257" location="plastzone" display="plastzone"/>
    <hyperlink ref="B233" location="opengzone" display="opengzone"/>
    <hyperlink ref="B219" location="opengzone" display="opengzone"/>
    <hyperlink ref="B145" location="opengzone" display="opengzone"/>
    <hyperlink ref="B114" location="opengzone" display="opengzone"/>
    <hyperlink ref="B107" location="millzone" display="millzone"/>
    <hyperlink ref="B84" location="laborzone" display="laborzone"/>
    <hyperlink ref="B78" r:id="rId2" display="http://www.laborcommissioner.com/10rates/2010 Amendments/2010Amendment1.htm"/>
    <hyperlink ref="B55" location="laborzone" display="laborzone"/>
    <hyperlink ref="B42" location="electwirezone" display="electwirezone"/>
    <hyperlink ref="B29" location="ELEC COMM TECH SOUTH" display="ELEC COMM TECH SOUTH"/>
    <hyperlink ref="B24" location="cemmaszone" display="cemmaszone"/>
    <hyperlink ref="B18" location="carpzone" display="carpzone"/>
    <hyperlink ref="B15" location="brick zone" display="brick zone"/>
    <hyperlink ref="B4" location="sheetzone" display="sheetzone"/>
    <hyperlink ref="B67" location="laborzone" display="laborzone"/>
    <hyperlink ref="B73" location="laborzone" display="laborzone"/>
    <hyperlink ref="C219" location="opengzone" display="opengzone"/>
    <hyperlink ref="C233" location="opengzone" display="opengzone"/>
  </hyperlinks>
  <pageMargins left="0.3" right="0.3" top="0.5" bottom="0.5" header="0.5" footer="0.5"/>
  <pageSetup orientation="landscape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58</vt:i4>
      </vt:variant>
    </vt:vector>
  </HeadingPairs>
  <TitlesOfParts>
    <vt:vector size="82" baseType="lpstr">
      <vt:lpstr>Counties Summary</vt:lpstr>
      <vt:lpstr>Public Works Projects</vt:lpstr>
      <vt:lpstr>CBA % Fringe</vt:lpstr>
      <vt:lpstr>Carson</vt:lpstr>
      <vt:lpstr>Churchill</vt:lpstr>
      <vt:lpstr>Clark</vt:lpstr>
      <vt:lpstr>Douglas</vt:lpstr>
      <vt:lpstr>Elko</vt:lpstr>
      <vt:lpstr>Esmeralda</vt:lpstr>
      <vt:lpstr>Eureka</vt:lpstr>
      <vt:lpstr>Humboldt</vt:lpstr>
      <vt:lpstr>Lander</vt:lpstr>
      <vt:lpstr>Lincoln</vt:lpstr>
      <vt:lpstr>Lyon</vt:lpstr>
      <vt:lpstr>Mineral</vt:lpstr>
      <vt:lpstr>Nye</vt:lpstr>
      <vt:lpstr>Pershing</vt:lpstr>
      <vt:lpstr>Storey</vt:lpstr>
      <vt:lpstr>Washoe</vt:lpstr>
      <vt:lpstr>White Pine</vt:lpstr>
      <vt:lpstr>South All Projects</vt:lpstr>
      <vt:lpstr>South NSHE &amp; South District</vt:lpstr>
      <vt:lpstr>North All Public Works Projects</vt:lpstr>
      <vt:lpstr>North NSHE &amp; School District</vt:lpstr>
      <vt:lpstr>Carson!AIR_BALANCE</vt:lpstr>
      <vt:lpstr>Carson!ALARM</vt:lpstr>
      <vt:lpstr>Carson!BOILER</vt:lpstr>
      <vt:lpstr>Carson!BRICK</vt:lpstr>
      <vt:lpstr>Carson!CARPENTER</vt:lpstr>
      <vt:lpstr>Carson!CEMENT</vt:lpstr>
      <vt:lpstr>Clark!CRANES</vt:lpstr>
      <vt:lpstr>Carson!ELEC_LINE</vt:lpstr>
      <vt:lpstr>Carson!ELEVATOR</vt:lpstr>
      <vt:lpstr>Carson!FENCE</vt:lpstr>
      <vt:lpstr>Carson!FLAG</vt:lpstr>
      <vt:lpstr>Carson!FLOOR</vt:lpstr>
      <vt:lpstr>Carson!GLAZIER</vt:lpstr>
      <vt:lpstr>Carson!HIGHWAY</vt:lpstr>
      <vt:lpstr>Carson!HOD_BRICK</vt:lpstr>
      <vt:lpstr>Carson!HOD_PLASTERER</vt:lpstr>
      <vt:lpstr>Carson!IRONWORKER</vt:lpstr>
      <vt:lpstr>Carson!LABORER</vt:lpstr>
      <vt:lpstr>Carson!MECH</vt:lpstr>
      <vt:lpstr>Carson!MILLWRIGHT</vt:lpstr>
      <vt:lpstr>Carson!NEON</vt:lpstr>
      <vt:lpstr>Carson!OP_ENG_PILE</vt:lpstr>
      <vt:lpstr>Carson!OP_ENGINEER</vt:lpstr>
      <vt:lpstr>Carson!PAINTER</vt:lpstr>
      <vt:lpstr>Carson!PILEDRIVER</vt:lpstr>
      <vt:lpstr>Carson!PLASTERER</vt:lpstr>
      <vt:lpstr>Carson!PLUMBER</vt:lpstr>
      <vt:lpstr>Carson!Print_Titles</vt:lpstr>
      <vt:lpstr>Churchill!Print_Titles</vt:lpstr>
      <vt:lpstr>Clark!Print_Titles</vt:lpstr>
      <vt:lpstr>Douglas!Print_Titles</vt:lpstr>
      <vt:lpstr>Elko!Print_Titles</vt:lpstr>
      <vt:lpstr>Esmeralda!Print_Titles</vt:lpstr>
      <vt:lpstr>Eureka!Print_Titles</vt:lpstr>
      <vt:lpstr>Humboldt!Print_Titles</vt:lpstr>
      <vt:lpstr>Lander!Print_Titles</vt:lpstr>
      <vt:lpstr>Lincoln!Print_Titles</vt:lpstr>
      <vt:lpstr>Lyon!Print_Titles</vt:lpstr>
      <vt:lpstr>Mineral!Print_Titles</vt:lpstr>
      <vt:lpstr>Nye!Print_Titles</vt:lpstr>
      <vt:lpstr>Pershing!Print_Titles</vt:lpstr>
      <vt:lpstr>Storey!Print_Titles</vt:lpstr>
      <vt:lpstr>Washoe!Print_Titles</vt:lpstr>
      <vt:lpstr>'White Pine'!Print_Titles</vt:lpstr>
      <vt:lpstr>Carson!REFRIGERATION</vt:lpstr>
      <vt:lpstr>Carson!ROOFER</vt:lpstr>
      <vt:lpstr>Carson!SHEET_METAL_WORKER</vt:lpstr>
      <vt:lpstr>Carson!SPRINKLER_FITTER</vt:lpstr>
      <vt:lpstr>Carson!STEEL</vt:lpstr>
      <vt:lpstr>Clark!SURVEYOR</vt:lpstr>
      <vt:lpstr>Carson!TAPER</vt:lpstr>
      <vt:lpstr>Carson!TECHNICIAN</vt:lpstr>
      <vt:lpstr>Carson!TILE_</vt:lpstr>
      <vt:lpstr>Carson!TRAFFIC_BARRIER_ERECTOR</vt:lpstr>
      <vt:lpstr>Carson!TRUCK_DRIVER</vt:lpstr>
      <vt:lpstr>Clark!TUNNEL</vt:lpstr>
      <vt:lpstr>Carson!WELL_DRILLER</vt:lpstr>
      <vt:lpstr>Carson!WIREMAN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Lawrence</dc:creator>
  <cp:lastModifiedBy>Geoffrey Lawrence</cp:lastModifiedBy>
  <cp:lastPrinted>2010-10-12T17:19:17Z</cp:lastPrinted>
  <dcterms:created xsi:type="dcterms:W3CDTF">2010-09-20T17:50:01Z</dcterms:created>
  <dcterms:modified xsi:type="dcterms:W3CDTF">2011-04-08T22:57:31Z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